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11040" windowHeight="7020" activeTab="0"/>
  </bookViews>
  <sheets>
    <sheet name="MACHCOST" sheetId="1" r:id="rId1"/>
    <sheet name="Comments" sheetId="2" r:id="rId2"/>
    <sheet name="Machine Codes" sheetId="3" r:id="rId3"/>
  </sheets>
  <definedNames>
    <definedName name="\g">'MACHCOST'!$Z$62</definedName>
    <definedName name="\r">'MACHCOST'!$Z$65</definedName>
    <definedName name="_Fill" hidden="1">'MACHCOST'!$B$126:$B$140</definedName>
    <definedName name="LIST">'MACHCOST'!$Z$1:$AB$52</definedName>
    <definedName name="_xlnm.Print_Area" localSheetId="0">'MACHCOST'!$A$1:$F$60</definedName>
    <definedName name="_xlnm.Print_Area">'MACHCOST'!$A$1:$F$60</definedName>
    <definedName name="Print_Area_MI" localSheetId="0">'MACHCOST'!$A$1:$F$60</definedName>
    <definedName name="PRINT_AREA_MI">'MACHCOST'!$A$1:$F$60</definedName>
    <definedName name="RESULTS">'MACHCOST'!$A$1:$F$60</definedName>
  </definedNames>
  <calcPr fullCalcOnLoad="1"/>
</workbook>
</file>

<file path=xl/sharedStrings.xml><?xml version="1.0" encoding="utf-8"?>
<sst xmlns="http://schemas.openxmlformats.org/spreadsheetml/2006/main" count="366" uniqueCount="185">
  <si>
    <t>MACHINERY COSTS WORKSHEET</t>
  </si>
  <si>
    <t>-</t>
  </si>
  <si>
    <t>Strike the "Home" key to get to the start of this program.</t>
  </si>
  <si>
    <t>Type of Tractor (1 or 2)</t>
  </si>
  <si>
    <t>Machine</t>
  </si>
  <si>
    <t xml:space="preserve"> Code</t>
  </si>
  <si>
    <t>Timeliness</t>
  </si>
  <si>
    <t>Hours</t>
  </si>
  <si>
    <t>% of Price</t>
  </si>
  <si>
    <t>RF1</t>
  </si>
  <si>
    <t>RF2</t>
  </si>
  <si>
    <t>Tractor, 2 wheel drive</t>
  </si>
  <si>
    <t>=</t>
  </si>
  <si>
    <t>N.A.</t>
  </si>
  <si>
    <t>Purchase price or ATB (adjusted tax basis)</t>
  </si>
  <si>
    <t>Tractor, 4 wheel drive</t>
  </si>
  <si>
    <t>---------Machine's Age--------</t>
  </si>
  <si>
    <t>Hours previously used</t>
  </si>
  <si>
    <t>Moldboard plow</t>
  </si>
  <si>
    <t>70 - 90</t>
  </si>
  <si>
    <t>3.0 - 6.0</t>
  </si>
  <si>
    <t>Expected years of Ownership</t>
  </si>
  <si>
    <t>Heavy Duty Disk</t>
  </si>
  <si>
    <t>3.5 - 6.0</t>
  </si>
  <si>
    <t>H.P. of Tractor or H.P. of engine on sell-propelled machine</t>
  </si>
  <si>
    <t>Tandem Disk Harrow</t>
  </si>
  <si>
    <t>D</t>
  </si>
  <si>
    <t>D=diesel, G=gas</t>
  </si>
  <si>
    <t>Chisel Plows</t>
  </si>
  <si>
    <t>4.0 - 6.5</t>
  </si>
  <si>
    <t>Fuel ($/gallon)</t>
  </si>
  <si>
    <t>Field Cultivator</t>
  </si>
  <si>
    <t>3.0 - 8.0</t>
  </si>
  <si>
    <t>Estimated Hours Use/Year</t>
  </si>
  <si>
    <t>Spring Tooth Harrow</t>
  </si>
  <si>
    <t>Roller-packer</t>
  </si>
  <si>
    <t>4.5 - 7.5</t>
  </si>
  <si>
    <t>Mulcher-packers</t>
  </si>
  <si>
    <t>4.0 - 6.0</t>
  </si>
  <si>
    <t>Rotary Hoe</t>
  </si>
  <si>
    <t>70 - 85</t>
  </si>
  <si>
    <t>Type of Implement (3 through 31)</t>
  </si>
  <si>
    <t>Row Crop Cultivators</t>
  </si>
  <si>
    <t>Rotary Tiller</t>
  </si>
  <si>
    <t>1.0 - 4.5</t>
  </si>
  <si>
    <t>Table 4 (annual average fixed costs)</t>
  </si>
  <si>
    <t>Row Crop Planter (No-till)</t>
  </si>
  <si>
    <t>50 - 75</t>
  </si>
  <si>
    <t>Row Crop Planter (conventional)</t>
  </si>
  <si>
    <t>3.0 - 7.0</t>
  </si>
  <si>
    <t>Grain Drill</t>
  </si>
  <si>
    <t>2.5 - 6.0</t>
  </si>
  <si>
    <t>Width in feet</t>
  </si>
  <si>
    <t>Corn Picker or Sheller</t>
  </si>
  <si>
    <t>60 - 75</t>
  </si>
  <si>
    <t>Acres used on</t>
  </si>
  <si>
    <t>Combines (pull-type)</t>
  </si>
  <si>
    <t>Times over</t>
  </si>
  <si>
    <t>"Range"</t>
  </si>
  <si>
    <t xml:space="preserve">    "Typical"</t>
  </si>
  <si>
    <t>Combine (self-propelled)</t>
  </si>
  <si>
    <t>65 - 80</t>
  </si>
  <si>
    <t>Field efficiency (percent) ----------</t>
  </si>
  <si>
    <t>Speed (MPH) -------------------------</t>
  </si>
  <si>
    <t>55 - 80</t>
  </si>
  <si>
    <t>Mower-conditioner (self-propelled)</t>
  </si>
  <si>
    <t>Side Delivery Rake</t>
  </si>
  <si>
    <t>60 - 85</t>
  </si>
  <si>
    <t>Other input values needed:</t>
  </si>
  <si>
    <t>55 - 75</t>
  </si>
  <si>
    <t>5.0 - 8.0</t>
  </si>
  <si>
    <t>Labor cost ($/hour)</t>
  </si>
  <si>
    <t>4.0 - 7.0</t>
  </si>
  <si>
    <t>"Crop's Value"                       =</t>
  </si>
  <si>
    <t>per acre</t>
  </si>
  <si>
    <t>Forage Chopper (pull-type)</t>
  </si>
  <si>
    <t>Price/unit ($/bushel, $/ton, etc)</t>
  </si>
  <si>
    <t>Forage Chopper (Self- propelled)</t>
  </si>
  <si>
    <t>Production per acre (bushels, tons, etc)</t>
  </si>
  <si>
    <t>Boom Sprayers</t>
  </si>
  <si>
    <t>50 - 80</t>
  </si>
  <si>
    <t>Average hours per day that this machine is normally used.</t>
  </si>
  <si>
    <t>Blower, forage</t>
  </si>
  <si>
    <t>Hour/day used</t>
  </si>
  <si>
    <t>Wagons</t>
  </si>
  <si>
    <t>*</t>
  </si>
  <si>
    <t>"Implement's Use Values"</t>
  </si>
  <si>
    <t xml:space="preserve">  Implement's capacity (acres per hour)</t>
  </si>
  <si>
    <t xml:space="preserve">       Implement's use (hours per year)</t>
  </si>
  <si>
    <t>RESULTS</t>
  </si>
  <si>
    <t>"Machinery Costs"</t>
  </si>
  <si>
    <t>Implement</t>
  </si>
  <si>
    <t>Tractor</t>
  </si>
  <si>
    <t>Annual fixed costs</t>
  </si>
  <si>
    <t xml:space="preserve">     After striking the &lt;Home&gt; key, enter the values associated with</t>
  </si>
  <si>
    <t>Repair costs</t>
  </si>
  <si>
    <t>your tractor and/or machine in the cells that are brighter.  You can not</t>
  </si>
  <si>
    <t xml:space="preserve"> </t>
  </si>
  <si>
    <t>Fuel costs</t>
  </si>
  <si>
    <t>not enter values in the other cells.  The program will not let you.</t>
  </si>
  <si>
    <t>Lubricant costs</t>
  </si>
  <si>
    <t>Total tractor costs</t>
  </si>
  <si>
    <t>Labor costs</t>
  </si>
  <si>
    <t xml:space="preserve">        Using this implement</t>
  </si>
  <si>
    <t>Total implement costs</t>
  </si>
  <si>
    <t>Per hour</t>
  </si>
  <si>
    <t>The results start on line 36.  You can study them and the print</t>
  </si>
  <si>
    <t xml:space="preserve">those results (using Alt R) or change the values entered to get </t>
  </si>
  <si>
    <t xml:space="preserve">      "Total Costs Per"</t>
  </si>
  <si>
    <t>another analysis; or both.  Remember:  to get to the start of the</t>
  </si>
  <si>
    <t>Tractor and Implement Costs</t>
  </si>
  <si>
    <t>Time Over</t>
  </si>
  <si>
    <t>Acre</t>
  </si>
  <si>
    <t>Hour</t>
  </si>
  <si>
    <t>program just strike the &lt;Home&gt; key.</t>
  </si>
  <si>
    <t>Timeliness Cost</t>
  </si>
  <si>
    <t>Sub-Total</t>
  </si>
  <si>
    <t xml:space="preserve">   Timeliness Cost</t>
  </si>
  <si>
    <t>Total Costs</t>
  </si>
  <si>
    <t>Total</t>
  </si>
  <si>
    <t>\G</t>
  </si>
  <si>
    <t>/pprlist~gpq</t>
  </si>
  <si>
    <t>\R</t>
  </si>
  <si>
    <t>/pprresults~gq</t>
  </si>
  <si>
    <t>tractor fixed cost factor</t>
  </si>
  <si>
    <t>machine fixed cost factor</t>
  </si>
  <si>
    <t>tractor repair cost factors</t>
  </si>
  <si>
    <t>machine repair cost factors</t>
  </si>
  <si>
    <t>tractor fixed cost column</t>
  </si>
  <si>
    <t>machine fixed cost column</t>
  </si>
  <si>
    <t>tractor fuel cost factor</t>
  </si>
  <si>
    <t>For calculating repair costs of used equipment</t>
  </si>
  <si>
    <t>tractor's value new (estimate)</t>
  </si>
  <si>
    <t>machine's value new (estimate)</t>
  </si>
  <si>
    <t>Table 3</t>
  </si>
  <si>
    <t xml:space="preserve">     Combines</t>
  </si>
  <si>
    <t xml:space="preserve"> Forage Choppers</t>
  </si>
  <si>
    <t xml:space="preserve">     Mowers</t>
  </si>
  <si>
    <t>Age</t>
  </si>
  <si>
    <t xml:space="preserve">       Tractors</t>
  </si>
  <si>
    <t xml:space="preserve"> Balers, blowers</t>
  </si>
  <si>
    <t xml:space="preserve">     Tillage</t>
  </si>
  <si>
    <t>Interest rate (percent)</t>
  </si>
  <si>
    <t>percent for housing, ins, etc</t>
  </si>
  <si>
    <t>Table 1</t>
  </si>
  <si>
    <t>Used equipment</t>
  </si>
  <si>
    <t>adjustment factors</t>
  </si>
  <si>
    <t>5.0 -14.0</t>
  </si>
  <si>
    <t>2.0 - 5.0</t>
  </si>
  <si>
    <t>75 - 85</t>
  </si>
  <si>
    <t>6.5 - 13.0</t>
  </si>
  <si>
    <t>Sm. Rect.Baler</t>
  </si>
  <si>
    <t>Big Bale Rect Baler</t>
  </si>
  <si>
    <t>Large Round Baler</t>
  </si>
  <si>
    <t>1.5 - 5.0</t>
  </si>
  <si>
    <t>1.5 - 6.0</t>
  </si>
  <si>
    <t xml:space="preserve">  S.P. Windrowers</t>
  </si>
  <si>
    <t>See Estimating Agricultural Field Machinery Costs for details from rschuler@wisc.edu</t>
  </si>
  <si>
    <t>1. The most recent (2005) machinery data from the American Society of Agricultural Engineer</t>
  </si>
  <si>
    <t>(as of July,2005 it is called American Society of Agricultural and Biological Engineers)</t>
  </si>
  <si>
    <t>2.User can taylor the analysis to their situation inputting many data values i.e. fuel price,</t>
  </si>
  <si>
    <t>equipment purchase price, acres, and forward speed.</t>
  </si>
  <si>
    <t>3. If a tractor is used for multiple purposes, the hourly tractor costs are calculated and</t>
  </si>
  <si>
    <t>the tractor costs for a tractor powered machine is determined for the number of hours</t>
  </si>
  <si>
    <t>used for the operation times the hourly tractor costs.</t>
  </si>
  <si>
    <t>4. The cost results are located in cells A1... F60. This print area has already been</t>
  </si>
  <si>
    <t>established for getting a hard copy of results.</t>
  </si>
  <si>
    <t>spreadsheet in line 16 of results.</t>
  </si>
  <si>
    <t>6. If you use a machine that has been used beyond the wear-out life, you will get a</t>
  </si>
  <si>
    <t>warning and machine costs will be large because the repair costs are determined</t>
  </si>
  <si>
    <t>using a formula with a exponential term. Hours will need to be adjusted to get realistic values.</t>
  </si>
  <si>
    <t>7. For self propelled equipment use a tractor purchase price of zero.</t>
  </si>
  <si>
    <t>COMMENTS:</t>
  </si>
  <si>
    <t>Mower-conditioner-sickle</t>
  </si>
  <si>
    <t>Mower-conditioner-rotary</t>
  </si>
  <si>
    <t>75 - 90</t>
  </si>
  <si>
    <t>Subsoiler</t>
  </si>
  <si>
    <t>Fertilizer Spreader</t>
  </si>
  <si>
    <t>60 - 80</t>
  </si>
  <si>
    <t>5.0 - 10.0</t>
  </si>
  <si>
    <t>See Y1..AB36 for code table</t>
  </si>
  <si>
    <t>5. The machinery code numbers are located in area Y1....AB36, also noted in the</t>
  </si>
  <si>
    <t>See cells I21-I36 for useful comments</t>
  </si>
  <si>
    <t>To print this table and guide, print area Y1..AB36</t>
  </si>
  <si>
    <t xml:space="preserve">    Annual fixed costs in per cent of list price by machine catagory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</si>
</sst>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Courier"/>
      <family val="0"/>
    </font>
    <font>
      <sz val="10"/>
      <name val="Arial"/>
      <family val="0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1" xfId="0" applyBorder="1" applyAlignment="1" applyProtection="1">
      <alignment horizontal="fill"/>
      <protection/>
    </xf>
    <xf numFmtId="0" fontId="0" fillId="0" borderId="2" xfId="0" applyBorder="1" applyAlignment="1" applyProtection="1">
      <alignment horizontal="fill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 applyProtection="1">
      <alignment horizontal="fill"/>
      <protection/>
    </xf>
    <xf numFmtId="0" fontId="0" fillId="0" borderId="6" xfId="0" applyBorder="1" applyAlignment="1" applyProtection="1">
      <alignment horizontal="fill"/>
      <protection/>
    </xf>
    <xf numFmtId="0" fontId="0" fillId="0" borderId="3" xfId="0" applyBorder="1" applyAlignment="1" applyProtection="1">
      <alignment/>
      <protection/>
    </xf>
    <xf numFmtId="0" fontId="0" fillId="0" borderId="7" xfId="0" applyBorder="1" applyAlignment="1" applyProtection="1">
      <alignment horizontal="fill"/>
      <protection/>
    </xf>
    <xf numFmtId="0" fontId="1" fillId="0" borderId="0" xfId="0" applyFont="1" applyAlignment="1" applyProtection="1">
      <alignment horizontal="right"/>
      <protection/>
    </xf>
    <xf numFmtId="0" fontId="1" fillId="0" borderId="8" xfId="0" applyFont="1" applyBorder="1" applyAlignment="1" applyProtection="1">
      <alignment horizontal="left"/>
      <protection/>
    </xf>
    <xf numFmtId="0" fontId="1" fillId="0" borderId="0" xfId="0" applyFont="1" applyAlignment="1">
      <alignment/>
    </xf>
    <xf numFmtId="0" fontId="2" fillId="0" borderId="3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5" fontId="2" fillId="0" borderId="3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2" fillId="0" borderId="3" xfId="0" applyFont="1" applyBorder="1" applyAlignment="1" applyProtection="1">
      <alignment horizontal="right"/>
      <protection locked="0"/>
    </xf>
    <xf numFmtId="7" fontId="2" fillId="0" borderId="3" xfId="0" applyNumberFormat="1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/>
    </xf>
    <xf numFmtId="0" fontId="1" fillId="0" borderId="3" xfId="0" applyFont="1" applyBorder="1" applyAlignment="1">
      <alignment/>
    </xf>
    <xf numFmtId="7" fontId="1" fillId="0" borderId="0" xfId="0" applyNumberFormat="1" applyFont="1" applyAlignment="1" applyProtection="1">
      <alignment/>
      <protection/>
    </xf>
    <xf numFmtId="164" fontId="2" fillId="0" borderId="3" xfId="0" applyNumberFormat="1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fill"/>
      <protection/>
    </xf>
    <xf numFmtId="0" fontId="1" fillId="0" borderId="3" xfId="0" applyFont="1" applyBorder="1" applyAlignment="1" applyProtection="1">
      <alignment horizontal="fill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fill"/>
      <protection/>
    </xf>
    <xf numFmtId="5" fontId="1" fillId="0" borderId="0" xfId="0" applyNumberFormat="1" applyFont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5" fontId="1" fillId="0" borderId="3" xfId="0" applyNumberFormat="1" applyFont="1" applyBorder="1" applyAlignment="1" applyProtection="1">
      <alignment/>
      <protection/>
    </xf>
    <xf numFmtId="7" fontId="1" fillId="0" borderId="1" xfId="0" applyNumberFormat="1" applyFont="1" applyBorder="1" applyAlignment="1" applyProtection="1">
      <alignment horizontal="fill"/>
      <protection/>
    </xf>
    <xf numFmtId="0" fontId="1" fillId="0" borderId="7" xfId="0" applyFont="1" applyBorder="1" applyAlignment="1" applyProtection="1">
      <alignment horizontal="fill"/>
      <protection/>
    </xf>
    <xf numFmtId="0" fontId="3" fillId="0" borderId="7" xfId="0" applyFont="1" applyBorder="1" applyAlignment="1" applyProtection="1">
      <alignment horizontal="right"/>
      <protection/>
    </xf>
    <xf numFmtId="0" fontId="1" fillId="0" borderId="2" xfId="0" applyFont="1" applyBorder="1" applyAlignment="1" applyProtection="1">
      <alignment horizontal="fill"/>
      <protection/>
    </xf>
    <xf numFmtId="0" fontId="0" fillId="0" borderId="10" xfId="0" applyBorder="1" applyAlignment="1" applyProtection="1">
      <alignment horizontal="fill"/>
      <protection/>
    </xf>
    <xf numFmtId="7" fontId="1" fillId="0" borderId="0" xfId="0" applyNumberFormat="1" applyFont="1" applyAlignment="1">
      <alignment/>
    </xf>
    <xf numFmtId="0" fontId="1" fillId="0" borderId="0" xfId="0" applyFont="1" applyAlignment="1" applyProtection="1">
      <alignment horizontal="fill"/>
      <protection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7" fontId="1" fillId="0" borderId="11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fill"/>
      <protection/>
    </xf>
    <xf numFmtId="0" fontId="1" fillId="0" borderId="2" xfId="0" applyFont="1" applyBorder="1" applyAlignment="1" applyProtection="1">
      <alignment horizontal="right"/>
      <protection/>
    </xf>
    <xf numFmtId="0" fontId="0" fillId="0" borderId="9" xfId="0" applyBorder="1" applyAlignment="1">
      <alignment/>
    </xf>
    <xf numFmtId="0" fontId="0" fillId="0" borderId="6" xfId="0" applyBorder="1" applyAlignment="1" applyProtection="1">
      <alignment horizontal="fill"/>
      <protection locked="0"/>
    </xf>
    <xf numFmtId="7" fontId="1" fillId="0" borderId="14" xfId="0" applyNumberFormat="1" applyFont="1" applyBorder="1" applyAlignment="1" applyProtection="1">
      <alignment horizontal="fill"/>
      <protection/>
    </xf>
    <xf numFmtId="0" fontId="1" fillId="0" borderId="14" xfId="0" applyFont="1" applyBorder="1" applyAlignment="1" applyProtection="1">
      <alignment horizontal="fill"/>
      <protection/>
    </xf>
    <xf numFmtId="0" fontId="4" fillId="0" borderId="4" xfId="0" applyFont="1" applyBorder="1" applyAlignment="1" applyProtection="1">
      <alignment horizontal="left"/>
      <protection/>
    </xf>
    <xf numFmtId="0" fontId="5" fillId="0" borderId="4" xfId="0" applyFont="1" applyBorder="1" applyAlignment="1">
      <alignment/>
    </xf>
    <xf numFmtId="0" fontId="1" fillId="0" borderId="0" xfId="0" applyFont="1" applyAlignment="1" quotePrefix="1">
      <alignment/>
    </xf>
    <xf numFmtId="0" fontId="6" fillId="0" borderId="1" xfId="0" applyFont="1" applyBorder="1" applyAlignment="1" applyProtection="1">
      <alignment/>
      <protection locked="0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 quotePrefix="1">
      <alignment/>
    </xf>
    <xf numFmtId="0" fontId="0" fillId="2" borderId="0" xfId="0" applyFill="1" applyBorder="1" applyAlignment="1">
      <alignment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left"/>
      <protection/>
    </xf>
    <xf numFmtId="0" fontId="0" fillId="2" borderId="0" xfId="0" applyFill="1" applyAlignment="1">
      <alignment/>
    </xf>
    <xf numFmtId="0" fontId="1" fillId="2" borderId="0" xfId="0" applyFont="1" applyFill="1" applyAlignment="1" applyProtection="1">
      <alignment horizontal="right"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 quotePrefix="1">
      <alignment horizontal="lef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0" xfId="0" applyFont="1" applyFill="1" applyAlignment="1" applyProtection="1">
      <alignment horizontal="left"/>
      <protection/>
    </xf>
    <xf numFmtId="0" fontId="7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L144"/>
  <sheetViews>
    <sheetView showGridLines="0" tabSelected="1" zoomScale="152" zoomScaleNormal="152" workbookViewId="0" topLeftCell="A1">
      <selection activeCell="A81" sqref="A81"/>
    </sheetView>
  </sheetViews>
  <sheetFormatPr defaultColWidth="9.625" defaultRowHeight="12.75"/>
  <cols>
    <col min="1" max="1" width="10.625" style="0" customWidth="1"/>
    <col min="2" max="2" width="30.625" style="0" customWidth="1"/>
    <col min="5" max="5" width="10.625" style="0" customWidth="1"/>
    <col min="6" max="6" width="8.125" style="0" customWidth="1"/>
    <col min="19" max="19" width="6.625" style="0" customWidth="1"/>
    <col min="20" max="20" width="5.625" style="0" customWidth="1"/>
    <col min="21" max="24" width="6.625" style="0" customWidth="1"/>
    <col min="25" max="25" width="4.625" style="0" customWidth="1"/>
    <col min="26" max="26" width="61.625" style="0" customWidth="1"/>
    <col min="27" max="27" width="2.625" style="0" customWidth="1"/>
    <col min="28" max="28" width="4.625" style="0" customWidth="1"/>
    <col min="29" max="29" width="5.625" style="0" customWidth="1"/>
  </cols>
  <sheetData>
    <row r="1" spans="1:26" ht="13.5" thickTop="1">
      <c r="A1" s="51" t="s">
        <v>97</v>
      </c>
      <c r="B1" s="55" t="s">
        <v>0</v>
      </c>
      <c r="C1" s="56" t="s">
        <v>182</v>
      </c>
      <c r="D1" s="9"/>
      <c r="E1" s="9"/>
      <c r="F1" s="47"/>
      <c r="G1" s="8"/>
      <c r="H1" s="18">
        <v>1</v>
      </c>
      <c r="I1" s="31">
        <f>SUM(B85)/A85</f>
        <v>45.568</v>
      </c>
      <c r="J1" s="31">
        <f>SUM(C85)/A85</f>
        <v>51.192</v>
      </c>
      <c r="K1" s="31">
        <f>SUM(E85)/A85</f>
        <v>57.918</v>
      </c>
      <c r="L1" s="31">
        <f>SUM(G85)/A85</f>
        <v>54.612</v>
      </c>
      <c r="Z1" s="20" t="s">
        <v>183</v>
      </c>
    </row>
    <row r="2" spans="1:26" ht="12.75">
      <c r="A2" s="52"/>
      <c r="B2" s="58" t="s">
        <v>157</v>
      </c>
      <c r="C2" s="4"/>
      <c r="D2" s="4"/>
      <c r="E2" s="4"/>
      <c r="F2" s="10"/>
      <c r="G2" s="8"/>
      <c r="H2" s="18">
        <v>2</v>
      </c>
      <c r="I2" s="31">
        <f>SUM($B$85:B86)/A86</f>
        <v>28.28928</v>
      </c>
      <c r="J2" s="31">
        <f>SUM($C$85:C86)/A86</f>
        <v>31.52196</v>
      </c>
      <c r="K2" s="31">
        <f>SUM($E$85:E86)/A86</f>
        <v>34.144215</v>
      </c>
      <c r="L2" s="31">
        <f>SUM($G$85:G86)/A86</f>
        <v>32.880504</v>
      </c>
      <c r="Z2" s="20" t="s">
        <v>2</v>
      </c>
    </row>
    <row r="3" spans="1:38" ht="12.75">
      <c r="A3" s="28" t="s">
        <v>3</v>
      </c>
      <c r="B3" s="16"/>
      <c r="F3" s="44"/>
      <c r="G3" s="8"/>
      <c r="H3" s="18">
        <v>3</v>
      </c>
      <c r="I3" s="31">
        <f>SUM($B$85:B87)/A87</f>
        <v>22.236091733333335</v>
      </c>
      <c r="J3" s="31">
        <f>SUM($C$85:C87)/A87</f>
        <v>24.510956399999998</v>
      </c>
      <c r="K3" s="31">
        <f>SUM($E$85:E87)/A87</f>
        <v>25.822086850000005</v>
      </c>
      <c r="L3" s="31">
        <f>SUM($G$85:G87)/A87</f>
        <v>25.205577024000004</v>
      </c>
      <c r="Z3" s="1" t="s">
        <v>4</v>
      </c>
      <c r="AA3" s="3" t="s">
        <v>5</v>
      </c>
      <c r="AH3" s="1" t="s">
        <v>6</v>
      </c>
      <c r="AI3" s="1" t="s">
        <v>7</v>
      </c>
      <c r="AJ3" s="1" t="s">
        <v>8</v>
      </c>
      <c r="AK3" s="1" t="s">
        <v>9</v>
      </c>
      <c r="AL3" s="1" t="s">
        <v>10</v>
      </c>
    </row>
    <row r="4" spans="1:38" ht="12.75">
      <c r="A4" s="17">
        <v>1</v>
      </c>
      <c r="B4" s="18" t="str">
        <f>IF(A4=1,"2 Wheel Drive",IF(A4=2,"4 Wheel Drive","Enter 1 or 2"))</f>
        <v>2 Wheel Drive</v>
      </c>
      <c r="C4" s="16"/>
      <c r="D4" s="16"/>
      <c r="E4" s="16"/>
      <c r="F4" s="43"/>
      <c r="G4" s="8"/>
      <c r="H4" s="18">
        <v>4</v>
      </c>
      <c r="I4" s="31">
        <f>SUM($B$85:B88)/A88</f>
        <v>19.006903296</v>
      </c>
      <c r="J4" s="31">
        <f>SUM($C$85:C88)/A88</f>
        <v>20.703897310499997</v>
      </c>
      <c r="K4" s="31">
        <f>SUM($E$85:E88)/A88</f>
        <v>21.397160146687504</v>
      </c>
      <c r="L4" s="31">
        <f>SUM($G$85:G88)/A88</f>
        <v>21.082297566912004</v>
      </c>
      <c r="Y4" s="2">
        <v>1</v>
      </c>
      <c r="Z4" s="14" t="s">
        <v>11</v>
      </c>
      <c r="AA4" s="3" t="s">
        <v>12</v>
      </c>
      <c r="AB4" s="2">
        <v>1</v>
      </c>
      <c r="AC4" s="2">
        <v>1</v>
      </c>
      <c r="AD4" s="1" t="s">
        <v>13</v>
      </c>
      <c r="AE4" s="1" t="s">
        <v>13</v>
      </c>
      <c r="AF4" s="1" t="s">
        <v>13</v>
      </c>
      <c r="AG4" s="1" t="s">
        <v>13</v>
      </c>
      <c r="AH4" s="2">
        <v>0</v>
      </c>
      <c r="AI4" s="2">
        <v>12000</v>
      </c>
      <c r="AJ4" s="2">
        <v>100</v>
      </c>
      <c r="AK4" s="2">
        <v>0.007</v>
      </c>
      <c r="AL4" s="2">
        <v>2</v>
      </c>
    </row>
    <row r="5" spans="1:38" ht="12.75">
      <c r="A5" s="19">
        <v>31400</v>
      </c>
      <c r="B5" s="20" t="s">
        <v>14</v>
      </c>
      <c r="C5" s="16"/>
      <c r="D5" s="16"/>
      <c r="E5" s="16"/>
      <c r="F5" s="43"/>
      <c r="G5" s="8"/>
      <c r="H5" s="18">
        <v>5</v>
      </c>
      <c r="I5" s="31">
        <f>SUM($B$85:B89)/A89</f>
        <v>16.920280825856004</v>
      </c>
      <c r="J5" s="31">
        <f>SUM($C$85:C89)/A89</f>
        <v>18.206159295834</v>
      </c>
      <c r="K5" s="31">
        <f>SUM($E$85:E89)/A89</f>
        <v>18.555389383854752</v>
      </c>
      <c r="L5" s="31">
        <f>SUM($G$85:G89)/A89</f>
        <v>18.40620083932017</v>
      </c>
      <c r="Y5" s="2">
        <v>2</v>
      </c>
      <c r="Z5" s="14" t="s">
        <v>15</v>
      </c>
      <c r="AA5" s="3" t="s">
        <v>12</v>
      </c>
      <c r="AB5" s="2">
        <v>2</v>
      </c>
      <c r="AC5" s="2">
        <v>1</v>
      </c>
      <c r="AD5" s="1" t="s">
        <v>13</v>
      </c>
      <c r="AE5" s="1" t="s">
        <v>13</v>
      </c>
      <c r="AF5" s="1" t="s">
        <v>13</v>
      </c>
      <c r="AG5" s="1" t="s">
        <v>13</v>
      </c>
      <c r="AH5" s="2">
        <v>0</v>
      </c>
      <c r="AI5" s="2">
        <v>16000</v>
      </c>
      <c r="AJ5" s="2">
        <v>80</v>
      </c>
      <c r="AK5" s="2">
        <v>0.003</v>
      </c>
      <c r="AL5" s="2">
        <v>2</v>
      </c>
    </row>
    <row r="6" spans="1:38" ht="12.75">
      <c r="A6" s="17">
        <v>0</v>
      </c>
      <c r="B6" s="14" t="s">
        <v>16</v>
      </c>
      <c r="C6" s="21">
        <v>0</v>
      </c>
      <c r="D6" s="20" t="s">
        <v>17</v>
      </c>
      <c r="E6" s="16"/>
      <c r="F6" s="43"/>
      <c r="G6" s="8"/>
      <c r="H6" s="18">
        <v>6</v>
      </c>
      <c r="I6" s="31">
        <f>SUM($B$85:B90)/A90</f>
        <v>15.414881966489602</v>
      </c>
      <c r="J6" s="31">
        <f>SUM($C$85:C90)/A90</f>
        <v>16.383542480677573</v>
      </c>
      <c r="K6" s="31">
        <f>SUM($E$85:E90)/A90</f>
        <v>16.52309967059288</v>
      </c>
      <c r="L6" s="31">
        <f>SUM($G$85:G90)/A90</f>
        <v>16.47323461829919</v>
      </c>
      <c r="Y6" s="2">
        <v>3</v>
      </c>
      <c r="Z6" s="14" t="s">
        <v>18</v>
      </c>
      <c r="AA6" s="3" t="s">
        <v>12</v>
      </c>
      <c r="AB6" s="2">
        <v>3</v>
      </c>
      <c r="AC6" s="2">
        <v>4</v>
      </c>
      <c r="AD6" s="3" t="s">
        <v>19</v>
      </c>
      <c r="AE6" s="2">
        <v>85</v>
      </c>
      <c r="AF6" s="3" t="s">
        <v>20</v>
      </c>
      <c r="AG6" s="2">
        <v>4.5</v>
      </c>
      <c r="AH6" s="2">
        <v>0</v>
      </c>
      <c r="AI6" s="2">
        <v>2000</v>
      </c>
      <c r="AJ6" s="2">
        <v>100</v>
      </c>
      <c r="AK6" s="2">
        <v>0.29</v>
      </c>
      <c r="AL6" s="2">
        <v>1.8</v>
      </c>
    </row>
    <row r="7" spans="1:38" ht="12.75">
      <c r="A7" s="17">
        <v>10</v>
      </c>
      <c r="B7" s="20" t="s">
        <v>21</v>
      </c>
      <c r="C7" s="16"/>
      <c r="D7" s="16"/>
      <c r="E7" s="16"/>
      <c r="F7" s="43"/>
      <c r="G7" s="8"/>
      <c r="H7" s="18">
        <v>7</v>
      </c>
      <c r="I7" s="31">
        <f>SUM($B$85:B91)/A91</f>
        <v>14.249449779288943</v>
      </c>
      <c r="J7" s="31">
        <f>SUM($C$85:C91)/A91</f>
        <v>14.96223008177113</v>
      </c>
      <c r="K7" s="31">
        <f>SUM($E$85:E91)/A91</f>
        <v>14.966951321549741</v>
      </c>
      <c r="L7" s="31">
        <f>SUM($G$85:G91)/A91</f>
        <v>14.979719487922702</v>
      </c>
      <c r="Y7" s="2">
        <v>4</v>
      </c>
      <c r="Z7" s="14" t="s">
        <v>22</v>
      </c>
      <c r="AA7" s="3" t="s">
        <v>12</v>
      </c>
      <c r="AB7" s="2">
        <v>4</v>
      </c>
      <c r="AC7" s="2">
        <v>4</v>
      </c>
      <c r="AD7" s="3" t="s">
        <v>19</v>
      </c>
      <c r="AE7" s="2">
        <v>85</v>
      </c>
      <c r="AF7" s="3" t="s">
        <v>23</v>
      </c>
      <c r="AG7" s="2">
        <v>4.5</v>
      </c>
      <c r="AH7" s="2">
        <v>0</v>
      </c>
      <c r="AI7" s="2">
        <v>2000</v>
      </c>
      <c r="AJ7" s="2">
        <v>60</v>
      </c>
      <c r="AK7" s="2">
        <v>0.18</v>
      </c>
      <c r="AL7" s="2">
        <v>1.7</v>
      </c>
    </row>
    <row r="8" spans="1:38" ht="12.75">
      <c r="A8" s="17">
        <v>75</v>
      </c>
      <c r="B8" s="20" t="s">
        <v>24</v>
      </c>
      <c r="C8" s="16"/>
      <c r="D8" s="16"/>
      <c r="E8" s="16"/>
      <c r="F8" s="43"/>
      <c r="G8" s="8"/>
      <c r="H8" s="18">
        <v>8</v>
      </c>
      <c r="I8" s="31">
        <f>SUM($B$85:B92)/A92</f>
        <v>13.3028070723276</v>
      </c>
      <c r="J8" s="31">
        <f>SUM($C$85:C92)/A92</f>
        <v>13.80375191957152</v>
      </c>
      <c r="K8" s="31">
        <f>SUM($E$85:E92)/A92</f>
        <v>13.71890792962508</v>
      </c>
      <c r="L8" s="31">
        <f>SUM($G$85:G92)/A92</f>
        <v>13.77231302390821</v>
      </c>
      <c r="Y8" s="2">
        <v>5</v>
      </c>
      <c r="Z8" s="14" t="s">
        <v>25</v>
      </c>
      <c r="AA8" s="3" t="s">
        <v>12</v>
      </c>
      <c r="AB8" s="2">
        <v>5</v>
      </c>
      <c r="AC8" s="2">
        <v>4</v>
      </c>
      <c r="AD8" s="3" t="s">
        <v>19</v>
      </c>
      <c r="AE8" s="2">
        <v>80</v>
      </c>
      <c r="AF8" s="6" t="s">
        <v>72</v>
      </c>
      <c r="AG8" s="2">
        <v>6</v>
      </c>
      <c r="AH8" s="2">
        <v>0</v>
      </c>
      <c r="AI8" s="2">
        <v>2000</v>
      </c>
      <c r="AJ8" s="2">
        <v>60</v>
      </c>
      <c r="AK8" s="2">
        <v>0.18</v>
      </c>
      <c r="AL8" s="2">
        <v>1.7</v>
      </c>
    </row>
    <row r="9" spans="1:38" ht="12.75">
      <c r="A9" s="22" t="s">
        <v>26</v>
      </c>
      <c r="B9" s="20" t="s">
        <v>27</v>
      </c>
      <c r="C9" s="16"/>
      <c r="D9" s="16"/>
      <c r="E9" s="16"/>
      <c r="F9" s="43"/>
      <c r="G9" s="8"/>
      <c r="H9" s="18">
        <v>9</v>
      </c>
      <c r="I9" s="31">
        <f>SUM($B$85:B93)/A93</f>
        <v>12.507184450259015</v>
      </c>
      <c r="J9" s="31">
        <f>SUM($C$85:C93)/A93</f>
        <v>12.82995151006293</v>
      </c>
      <c r="K9" s="31">
        <f>SUM($E$85:E93)/A93</f>
        <v>12.684540904638396</v>
      </c>
      <c r="L9" s="31">
        <f>SUM($G$85:G93)/A93</f>
        <v>12.764644189453206</v>
      </c>
      <c r="Y9" s="2">
        <v>6</v>
      </c>
      <c r="Z9" s="14" t="s">
        <v>28</v>
      </c>
      <c r="AA9" s="3" t="s">
        <v>12</v>
      </c>
      <c r="AB9" s="2">
        <v>6</v>
      </c>
      <c r="AC9" s="2">
        <v>4</v>
      </c>
      <c r="AD9" s="3" t="s">
        <v>19</v>
      </c>
      <c r="AE9" s="2">
        <v>85</v>
      </c>
      <c r="AF9" s="3" t="s">
        <v>29</v>
      </c>
      <c r="AG9" s="2">
        <v>5</v>
      </c>
      <c r="AH9" s="2">
        <v>0</v>
      </c>
      <c r="AI9" s="2">
        <v>2000</v>
      </c>
      <c r="AJ9" s="2">
        <v>75</v>
      </c>
      <c r="AK9" s="2">
        <v>0.28</v>
      </c>
      <c r="AL9" s="2">
        <v>1.4</v>
      </c>
    </row>
    <row r="10" spans="1:38" ht="12.75">
      <c r="A10" s="23">
        <v>2.2</v>
      </c>
      <c r="B10" s="20" t="s">
        <v>30</v>
      </c>
      <c r="C10" s="16"/>
      <c r="D10" s="16"/>
      <c r="E10" s="16"/>
      <c r="F10" s="43"/>
      <c r="G10" s="8"/>
      <c r="H10" s="18">
        <v>10</v>
      </c>
      <c r="I10" s="31">
        <f>SUM($B$85:B94)/A94</f>
        <v>11.821548724814466</v>
      </c>
      <c r="J10" s="31">
        <f>SUM($C$85:C94)/A94</f>
        <v>11.992956377765124</v>
      </c>
      <c r="K10" s="31">
        <f>SUM($E$85:E94)/A94</f>
        <v>11.806336830544483</v>
      </c>
      <c r="L10" s="31">
        <f>SUM($G$85:G94)/A94</f>
        <v>11.90395091712897</v>
      </c>
      <c r="Y10" s="2">
        <v>7</v>
      </c>
      <c r="Z10" s="14" t="s">
        <v>176</v>
      </c>
      <c r="AA10" s="6" t="s">
        <v>12</v>
      </c>
      <c r="AB10" s="2">
        <v>7</v>
      </c>
      <c r="AC10" s="2">
        <v>4</v>
      </c>
      <c r="AD10" s="3" t="s">
        <v>19</v>
      </c>
      <c r="AE10" s="2">
        <v>85</v>
      </c>
      <c r="AF10" s="3" t="s">
        <v>29</v>
      </c>
      <c r="AG10" s="2">
        <v>5</v>
      </c>
      <c r="AH10" s="2">
        <v>0</v>
      </c>
      <c r="AI10" s="2">
        <v>2000</v>
      </c>
      <c r="AJ10" s="2">
        <v>75</v>
      </c>
      <c r="AK10" s="2">
        <v>0.28</v>
      </c>
      <c r="AL10" s="2">
        <v>1.4</v>
      </c>
    </row>
    <row r="11" spans="1:38" ht="12.75">
      <c r="A11" s="17">
        <v>400</v>
      </c>
      <c r="B11" s="20" t="s">
        <v>33</v>
      </c>
      <c r="C11" s="16"/>
      <c r="D11" s="16"/>
      <c r="E11" s="16"/>
      <c r="F11" s="43"/>
      <c r="G11" s="8"/>
      <c r="H11" s="18">
        <v>11</v>
      </c>
      <c r="I11" s="31">
        <f>SUM($B$85:B95)/A95</f>
        <v>11.219477115299371</v>
      </c>
      <c r="J11" s="31">
        <f>SUM($C$85:C95)/A95</f>
        <v>11.261514903929212</v>
      </c>
      <c r="K11" s="31">
        <f>SUM($E$85:E95)/A95</f>
        <v>11.04700735911988</v>
      </c>
      <c r="L11" s="31">
        <f>SUM($G$85:G95)/A95</f>
        <v>11.155902373401828</v>
      </c>
      <c r="Y11" s="2">
        <v>8</v>
      </c>
      <c r="Z11" s="14" t="s">
        <v>31</v>
      </c>
      <c r="AA11" s="3" t="s">
        <v>12</v>
      </c>
      <c r="AB11" s="2">
        <v>8</v>
      </c>
      <c r="AC11" s="2">
        <v>4</v>
      </c>
      <c r="AD11" s="3" t="s">
        <v>19</v>
      </c>
      <c r="AE11" s="2">
        <v>85</v>
      </c>
      <c r="AF11" s="6" t="s">
        <v>70</v>
      </c>
      <c r="AG11" s="2">
        <v>7</v>
      </c>
      <c r="AH11" s="2">
        <v>0</v>
      </c>
      <c r="AI11" s="2">
        <v>2000</v>
      </c>
      <c r="AJ11" s="2">
        <v>70</v>
      </c>
      <c r="AK11" s="2">
        <v>0.27</v>
      </c>
      <c r="AL11" s="2">
        <v>1.4</v>
      </c>
    </row>
    <row r="12" spans="1:38" ht="12.75">
      <c r="A12" s="12" t="str">
        <f>IF($C$6+$A$7*$A$11&gt;VLOOKUP($A$4,$Y$4:$AL$41,11),"Warning:  Tractor's planned plus previous use greater than expected life."," ")</f>
        <v> </v>
      </c>
      <c r="F12" s="44"/>
      <c r="G12" s="8"/>
      <c r="H12" s="18">
        <v>12</v>
      </c>
      <c r="I12" s="31">
        <f>SUM($B$85:B96)/A96</f>
        <v>10.683092367235803</v>
      </c>
      <c r="J12" s="31">
        <f>SUM($C$85:C96)/A96</f>
        <v>10.614153965812575</v>
      </c>
      <c r="K12" s="31">
        <f>SUM($E$85:E96)/A96</f>
        <v>10.381134720086003</v>
      </c>
      <c r="L12" s="31">
        <f>SUM($G$85:G96)/A96</f>
        <v>10.496999556579947</v>
      </c>
      <c r="Y12" s="2">
        <v>9</v>
      </c>
      <c r="Z12" s="14" t="s">
        <v>34</v>
      </c>
      <c r="AA12" s="3" t="s">
        <v>12</v>
      </c>
      <c r="AB12" s="2">
        <v>9</v>
      </c>
      <c r="AC12" s="2">
        <v>4</v>
      </c>
      <c r="AD12" s="3" t="s">
        <v>19</v>
      </c>
      <c r="AE12" s="2">
        <v>85</v>
      </c>
      <c r="AF12" s="6" t="s">
        <v>70</v>
      </c>
      <c r="AG12" s="2">
        <v>7</v>
      </c>
      <c r="AH12" s="2">
        <v>0</v>
      </c>
      <c r="AI12" s="2">
        <v>2000</v>
      </c>
      <c r="AJ12" s="2">
        <v>70</v>
      </c>
      <c r="AK12" s="2">
        <v>0.27</v>
      </c>
      <c r="AL12" s="2">
        <v>1.4</v>
      </c>
    </row>
    <row r="13" spans="1:38" ht="12.75">
      <c r="A13" s="12"/>
      <c r="C13" t="s">
        <v>97</v>
      </c>
      <c r="F13" s="44"/>
      <c r="G13" s="8"/>
      <c r="H13" s="18">
        <v>13</v>
      </c>
      <c r="I13" s="31">
        <f>SUM($B$85:B97)/A97</f>
        <v>10.199795364175637</v>
      </c>
      <c r="J13" s="31">
        <f>SUM($C$85:C97)/A97</f>
        <v>10.035485778225349</v>
      </c>
      <c r="K13" s="31">
        <f>SUM($E$85:E97)/A97</f>
        <v>9.790665440562565</v>
      </c>
      <c r="L13" s="31">
        <f>SUM($G$85:G97)/A97</f>
        <v>9.910474715092315</v>
      </c>
      <c r="Y13" s="2">
        <v>10</v>
      </c>
      <c r="Z13" s="14" t="s">
        <v>35</v>
      </c>
      <c r="AA13" s="3" t="s">
        <v>12</v>
      </c>
      <c r="AB13" s="2">
        <v>10</v>
      </c>
      <c r="AC13" s="2">
        <v>4</v>
      </c>
      <c r="AD13" s="3" t="s">
        <v>19</v>
      </c>
      <c r="AE13" s="2">
        <v>85</v>
      </c>
      <c r="AF13" s="3" t="s">
        <v>36</v>
      </c>
      <c r="AG13" s="2">
        <v>6</v>
      </c>
      <c r="AH13" s="2">
        <v>0</v>
      </c>
      <c r="AI13" s="2">
        <v>2000</v>
      </c>
      <c r="AJ13" s="2">
        <v>40</v>
      </c>
      <c r="AK13" s="2">
        <v>0.16</v>
      </c>
      <c r="AL13" s="2">
        <v>1.3</v>
      </c>
    </row>
    <row r="14" spans="1:38" ht="12.75">
      <c r="A14" s="11"/>
      <c r="B14" s="4"/>
      <c r="C14" s="4"/>
      <c r="D14" s="4"/>
      <c r="E14" s="4"/>
      <c r="F14" s="10"/>
      <c r="G14" s="8"/>
      <c r="H14" s="18">
        <v>14</v>
      </c>
      <c r="I14" s="31">
        <f>SUM($B$85:B98)/A98</f>
        <v>9.760396611110044</v>
      </c>
      <c r="J14" s="31">
        <f>SUM($C$85:C98)/A98</f>
        <v>9.514090277034473</v>
      </c>
      <c r="K14" s="31">
        <f>SUM($E$85:E98)/A98</f>
        <v>9.262328992405164</v>
      </c>
      <c r="L14" s="31">
        <f>SUM($G$85:G98)/A98</f>
        <v>9.383941101845778</v>
      </c>
      <c r="Y14" s="2">
        <v>11</v>
      </c>
      <c r="Z14" s="14" t="s">
        <v>37</v>
      </c>
      <c r="AA14" s="3" t="s">
        <v>12</v>
      </c>
      <c r="AB14" s="2">
        <v>11</v>
      </c>
      <c r="AC14" s="2">
        <v>4</v>
      </c>
      <c r="AD14" s="3" t="s">
        <v>19</v>
      </c>
      <c r="AE14" s="2">
        <v>80</v>
      </c>
      <c r="AF14" s="3" t="s">
        <v>38</v>
      </c>
      <c r="AG14" s="2">
        <v>5</v>
      </c>
      <c r="AH14" s="2">
        <v>0</v>
      </c>
      <c r="AI14" s="2">
        <v>2000</v>
      </c>
      <c r="AJ14" s="2">
        <v>40</v>
      </c>
      <c r="AK14" s="2">
        <v>0.16</v>
      </c>
      <c r="AL14" s="2">
        <v>1.3</v>
      </c>
    </row>
    <row r="15" spans="1:38" ht="12.75">
      <c r="A15" s="15" t="s">
        <v>41</v>
      </c>
      <c r="B15" s="16"/>
      <c r="C15" s="16"/>
      <c r="D15" s="16"/>
      <c r="E15" s="16"/>
      <c r="F15" s="46"/>
      <c r="G15" s="8"/>
      <c r="H15" s="18">
        <v>15</v>
      </c>
      <c r="I15" s="31">
        <f>SUM($B$85:B99)/A99</f>
        <v>9.357993890073159</v>
      </c>
      <c r="J15" s="31">
        <f>SUM($C$85:C99)/A99</f>
        <v>9.041238568830474</v>
      </c>
      <c r="K15" s="31">
        <f>SUM($E$85:E99)/A99</f>
        <v>8.786083747726668</v>
      </c>
      <c r="L15" s="31">
        <f>SUM($G$85:G99)/A99</f>
        <v>8.907977005096225</v>
      </c>
      <c r="Y15" s="2">
        <v>12</v>
      </c>
      <c r="Z15" s="14" t="s">
        <v>39</v>
      </c>
      <c r="AA15" s="3" t="s">
        <v>12</v>
      </c>
      <c r="AB15" s="2">
        <v>12</v>
      </c>
      <c r="AC15" s="2">
        <v>4</v>
      </c>
      <c r="AD15" s="3" t="s">
        <v>40</v>
      </c>
      <c r="AE15" s="2">
        <v>80</v>
      </c>
      <c r="AF15" s="6" t="s">
        <v>147</v>
      </c>
      <c r="AG15" s="2">
        <v>12</v>
      </c>
      <c r="AH15" s="2">
        <v>0.028</v>
      </c>
      <c r="AI15" s="2">
        <v>2000</v>
      </c>
      <c r="AJ15" s="2">
        <v>60</v>
      </c>
      <c r="AK15" s="2">
        <v>0.23</v>
      </c>
      <c r="AL15" s="2">
        <v>1.4</v>
      </c>
    </row>
    <row r="16" spans="1:38" ht="12.75">
      <c r="A16" s="17">
        <v>22</v>
      </c>
      <c r="B16" s="18" t="str">
        <f>IF(AND(A16&gt;2,A16&lt;34),VLOOKUP(A16,Y4:Z36,2),"Enter a number 3 to 31")</f>
        <v>Mower-conditioner-rotary</v>
      </c>
      <c r="C16" s="16"/>
      <c r="D16" s="20" t="s">
        <v>180</v>
      </c>
      <c r="E16" s="16"/>
      <c r="F16" s="43"/>
      <c r="G16" s="7"/>
      <c r="H16" s="16"/>
      <c r="I16" s="16"/>
      <c r="J16" s="16"/>
      <c r="K16" s="16"/>
      <c r="L16" s="16"/>
      <c r="Y16" s="2">
        <v>13</v>
      </c>
      <c r="Z16" s="14" t="s">
        <v>42</v>
      </c>
      <c r="AA16" s="3" t="s">
        <v>12</v>
      </c>
      <c r="AB16" s="2">
        <v>13</v>
      </c>
      <c r="AC16" s="2">
        <v>4</v>
      </c>
      <c r="AD16" s="3" t="s">
        <v>19</v>
      </c>
      <c r="AE16" s="2">
        <v>80</v>
      </c>
      <c r="AF16" s="6" t="s">
        <v>49</v>
      </c>
      <c r="AG16" s="2">
        <v>5</v>
      </c>
      <c r="AH16" s="2">
        <v>0.011</v>
      </c>
      <c r="AI16" s="2">
        <v>2000</v>
      </c>
      <c r="AJ16" s="2">
        <v>80</v>
      </c>
      <c r="AK16" s="2">
        <v>0.17</v>
      </c>
      <c r="AL16" s="2">
        <v>2.2</v>
      </c>
    </row>
    <row r="17" spans="1:38" ht="12.75">
      <c r="A17" s="19">
        <v>23111</v>
      </c>
      <c r="B17" s="20" t="s">
        <v>14</v>
      </c>
      <c r="C17" s="16"/>
      <c r="D17" s="16"/>
      <c r="E17" s="16"/>
      <c r="F17" s="43"/>
      <c r="G17" s="7"/>
      <c r="H17" s="20" t="s">
        <v>45</v>
      </c>
      <c r="I17" s="16"/>
      <c r="J17" s="16"/>
      <c r="K17" s="16"/>
      <c r="L17" s="16"/>
      <c r="Y17" s="2">
        <v>14</v>
      </c>
      <c r="Z17" s="14" t="s">
        <v>43</v>
      </c>
      <c r="AA17" s="3" t="s">
        <v>12</v>
      </c>
      <c r="AB17" s="2">
        <v>14</v>
      </c>
      <c r="AC17" s="2">
        <v>4</v>
      </c>
      <c r="AD17" s="3" t="s">
        <v>19</v>
      </c>
      <c r="AE17" s="2">
        <v>85</v>
      </c>
      <c r="AF17" s="3" t="s">
        <v>44</v>
      </c>
      <c r="AG17" s="2">
        <v>3</v>
      </c>
      <c r="AH17" s="2">
        <v>0.011</v>
      </c>
      <c r="AI17" s="2">
        <v>1500</v>
      </c>
      <c r="AJ17" s="2">
        <v>80</v>
      </c>
      <c r="AK17" s="2">
        <v>0.36</v>
      </c>
      <c r="AL17" s="2">
        <v>2</v>
      </c>
    </row>
    <row r="18" spans="1:38" ht="12.75">
      <c r="A18" s="17">
        <v>0</v>
      </c>
      <c r="B18" s="14" t="s">
        <v>16</v>
      </c>
      <c r="C18" s="21">
        <v>0</v>
      </c>
      <c r="D18" s="20" t="s">
        <v>17</v>
      </c>
      <c r="E18" s="16"/>
      <c r="F18" s="43"/>
      <c r="G18" s="7"/>
      <c r="H18" s="16"/>
      <c r="I18" s="16"/>
      <c r="J18" s="16"/>
      <c r="K18" s="16"/>
      <c r="L18" s="16"/>
      <c r="Y18" s="2">
        <v>15</v>
      </c>
      <c r="Z18" s="14" t="s">
        <v>46</v>
      </c>
      <c r="AA18" s="3" t="s">
        <v>12</v>
      </c>
      <c r="AB18" s="2">
        <v>15</v>
      </c>
      <c r="AC18" s="2">
        <v>4</v>
      </c>
      <c r="AD18" s="3" t="s">
        <v>47</v>
      </c>
      <c r="AE18" s="2">
        <v>65</v>
      </c>
      <c r="AF18" s="6" t="s">
        <v>72</v>
      </c>
      <c r="AG18" s="2">
        <v>5.5</v>
      </c>
      <c r="AH18" s="2">
        <v>0.005</v>
      </c>
      <c r="AI18" s="2">
        <v>1500</v>
      </c>
      <c r="AJ18" s="2">
        <v>75</v>
      </c>
      <c r="AK18" s="2">
        <v>0.32</v>
      </c>
      <c r="AL18" s="2">
        <v>2.1</v>
      </c>
    </row>
    <row r="19" spans="1:38" ht="12.75">
      <c r="A19" s="17">
        <v>20</v>
      </c>
      <c r="B19" s="20" t="s">
        <v>21</v>
      </c>
      <c r="C19" s="16"/>
      <c r="D19" s="16"/>
      <c r="E19" s="16"/>
      <c r="F19" s="43"/>
      <c r="G19" s="7"/>
      <c r="Y19" s="2">
        <v>16</v>
      </c>
      <c r="Z19" s="14" t="s">
        <v>48</v>
      </c>
      <c r="AA19" s="3" t="s">
        <v>12</v>
      </c>
      <c r="AB19" s="2">
        <v>16</v>
      </c>
      <c r="AC19" s="2">
        <v>4</v>
      </c>
      <c r="AD19" s="6" t="s">
        <v>80</v>
      </c>
      <c r="AE19" s="2">
        <v>70</v>
      </c>
      <c r="AF19" s="6" t="s">
        <v>72</v>
      </c>
      <c r="AG19" s="2">
        <v>5</v>
      </c>
      <c r="AH19" s="2">
        <v>0.005</v>
      </c>
      <c r="AI19" s="2">
        <v>1500</v>
      </c>
      <c r="AJ19" s="2">
        <v>75</v>
      </c>
      <c r="AK19" s="2">
        <v>0.32</v>
      </c>
      <c r="AL19" s="2">
        <v>2.1</v>
      </c>
    </row>
    <row r="20" spans="1:38" ht="12.75">
      <c r="A20" s="17">
        <v>12</v>
      </c>
      <c r="B20" s="20" t="s">
        <v>52</v>
      </c>
      <c r="C20" s="16"/>
      <c r="D20" s="16"/>
      <c r="E20" s="16"/>
      <c r="F20" s="43"/>
      <c r="G20" s="7"/>
      <c r="Y20" s="2">
        <v>17</v>
      </c>
      <c r="Z20" s="14" t="s">
        <v>50</v>
      </c>
      <c r="AA20" s="3" t="s">
        <v>12</v>
      </c>
      <c r="AB20" s="2">
        <v>17</v>
      </c>
      <c r="AC20" s="2">
        <v>4</v>
      </c>
      <c r="AD20" s="6" t="s">
        <v>64</v>
      </c>
      <c r="AE20" s="2">
        <v>70</v>
      </c>
      <c r="AF20" s="6" t="s">
        <v>72</v>
      </c>
      <c r="AG20" s="2">
        <v>5</v>
      </c>
      <c r="AH20" s="2">
        <v>0.012</v>
      </c>
      <c r="AI20" s="2">
        <v>1500</v>
      </c>
      <c r="AJ20" s="2">
        <v>75</v>
      </c>
      <c r="AK20" s="2">
        <v>0.32</v>
      </c>
      <c r="AL20" s="2">
        <v>2.1</v>
      </c>
    </row>
    <row r="21" spans="1:38" ht="12.75">
      <c r="A21" s="17">
        <v>233</v>
      </c>
      <c r="B21" s="20" t="s">
        <v>55</v>
      </c>
      <c r="C21" s="16"/>
      <c r="D21" s="16"/>
      <c r="E21" s="16"/>
      <c r="F21" s="43"/>
      <c r="G21" s="7"/>
      <c r="I21" s="16" t="s">
        <v>172</v>
      </c>
      <c r="Y21" s="2">
        <v>18</v>
      </c>
      <c r="Z21" s="14" t="s">
        <v>53</v>
      </c>
      <c r="AA21" s="3" t="s">
        <v>12</v>
      </c>
      <c r="AB21" s="2">
        <v>18</v>
      </c>
      <c r="AC21" s="2">
        <v>3</v>
      </c>
      <c r="AD21" s="3" t="s">
        <v>54</v>
      </c>
      <c r="AE21" s="2">
        <v>65</v>
      </c>
      <c r="AF21" s="6" t="s">
        <v>148</v>
      </c>
      <c r="AG21" s="2">
        <v>2.5</v>
      </c>
      <c r="AH21" s="2">
        <v>0.003</v>
      </c>
      <c r="AI21" s="2">
        <v>2000</v>
      </c>
      <c r="AJ21" s="2">
        <v>70</v>
      </c>
      <c r="AK21" s="2">
        <v>0.14</v>
      </c>
      <c r="AL21" s="2">
        <v>2.3</v>
      </c>
    </row>
    <row r="22" spans="1:38" ht="12.75">
      <c r="A22" s="17">
        <v>3</v>
      </c>
      <c r="B22" s="20" t="s">
        <v>57</v>
      </c>
      <c r="C22" s="16"/>
      <c r="D22" s="14" t="s">
        <v>58</v>
      </c>
      <c r="E22" s="14" t="s">
        <v>59</v>
      </c>
      <c r="F22" s="43"/>
      <c r="G22" s="7"/>
      <c r="I22" s="16" t="s">
        <v>158</v>
      </c>
      <c r="J22" s="16"/>
      <c r="K22" s="16"/>
      <c r="Y22" s="2">
        <v>19</v>
      </c>
      <c r="Z22" s="14" t="s">
        <v>56</v>
      </c>
      <c r="AA22" s="3" t="s">
        <v>12</v>
      </c>
      <c r="AB22" s="2">
        <v>19</v>
      </c>
      <c r="AC22" s="2">
        <v>2</v>
      </c>
      <c r="AD22" s="3" t="s">
        <v>54</v>
      </c>
      <c r="AE22" s="2">
        <v>65</v>
      </c>
      <c r="AF22" s="6" t="s">
        <v>148</v>
      </c>
      <c r="AG22" s="2">
        <v>5</v>
      </c>
      <c r="AH22" s="2">
        <v>0.003</v>
      </c>
      <c r="AI22" s="2">
        <v>2000</v>
      </c>
      <c r="AJ22" s="2">
        <v>60</v>
      </c>
      <c r="AK22" s="2">
        <v>0.12</v>
      </c>
      <c r="AL22" s="2">
        <v>2.3</v>
      </c>
    </row>
    <row r="23" spans="1:38" ht="12.75">
      <c r="A23" s="17">
        <v>85</v>
      </c>
      <c r="B23" s="20" t="s">
        <v>62</v>
      </c>
      <c r="C23" s="16"/>
      <c r="D23" s="18" t="str">
        <f>VLOOKUP(A16,AB4:AF36,3)</f>
        <v>75 - 90</v>
      </c>
      <c r="E23" s="18">
        <f>VLOOKUP(A$16,$Y$4:$AL$41,7)</f>
        <v>80</v>
      </c>
      <c r="F23" s="43"/>
      <c r="G23" s="7"/>
      <c r="I23" s="16" t="s">
        <v>159</v>
      </c>
      <c r="J23" s="16"/>
      <c r="K23" s="16"/>
      <c r="Y23" s="2">
        <v>20</v>
      </c>
      <c r="Z23" s="14" t="s">
        <v>60</v>
      </c>
      <c r="AA23" s="3" t="s">
        <v>12</v>
      </c>
      <c r="AB23" s="2">
        <v>20</v>
      </c>
      <c r="AC23" s="2">
        <v>2</v>
      </c>
      <c r="AD23" s="3" t="s">
        <v>61</v>
      </c>
      <c r="AE23" s="2">
        <v>70</v>
      </c>
      <c r="AF23" s="6" t="s">
        <v>148</v>
      </c>
      <c r="AG23" s="2">
        <v>3</v>
      </c>
      <c r="AH23" s="2">
        <v>0.003</v>
      </c>
      <c r="AI23" s="2">
        <v>3000</v>
      </c>
      <c r="AJ23" s="2">
        <v>40</v>
      </c>
      <c r="AK23" s="2">
        <v>0.04</v>
      </c>
      <c r="AL23" s="2">
        <v>2.1</v>
      </c>
    </row>
    <row r="24" spans="1:38" ht="12.75">
      <c r="A24" s="17">
        <v>7</v>
      </c>
      <c r="B24" s="20" t="s">
        <v>63</v>
      </c>
      <c r="C24" s="16"/>
      <c r="D24" s="18" t="str">
        <f>VLOOKUP(A16,AB4:AF36,5)</f>
        <v>5.0 - 8.0</v>
      </c>
      <c r="E24" s="18">
        <f>VLOOKUP(A$16,$Y$4:$AL$41,9)</f>
        <v>7</v>
      </c>
      <c r="F24" s="43"/>
      <c r="G24" s="7"/>
      <c r="I24" s="16" t="s">
        <v>160</v>
      </c>
      <c r="J24" s="16"/>
      <c r="K24" s="16"/>
      <c r="Y24" s="2">
        <v>21</v>
      </c>
      <c r="Z24" s="14" t="s">
        <v>173</v>
      </c>
      <c r="AA24" s="3" t="s">
        <v>12</v>
      </c>
      <c r="AB24" s="2">
        <v>21</v>
      </c>
      <c r="AC24" s="2">
        <v>4</v>
      </c>
      <c r="AD24" s="6" t="s">
        <v>149</v>
      </c>
      <c r="AE24" s="2">
        <v>80</v>
      </c>
      <c r="AF24" s="3" t="s">
        <v>20</v>
      </c>
      <c r="AG24" s="2">
        <v>5</v>
      </c>
      <c r="AH24" s="2">
        <v>0.018</v>
      </c>
      <c r="AI24" s="2">
        <v>2500</v>
      </c>
      <c r="AJ24" s="2">
        <v>80</v>
      </c>
      <c r="AK24" s="2">
        <v>0.18</v>
      </c>
      <c r="AL24" s="2">
        <v>1.6</v>
      </c>
    </row>
    <row r="25" spans="1:38" ht="12.75">
      <c r="A25" s="24" t="str">
        <f>IF($C$18+A19*D38&gt;VLOOKUP(A16,$Y$4:$AL$41,11),"Warning:  Machine's planned plus previous use greater than expected life."," ")</f>
        <v> </v>
      </c>
      <c r="B25" s="16"/>
      <c r="C25" s="16"/>
      <c r="D25" s="16"/>
      <c r="E25" s="16"/>
      <c r="F25" s="43"/>
      <c r="G25" s="7"/>
      <c r="I25" s="16" t="s">
        <v>161</v>
      </c>
      <c r="J25" s="16"/>
      <c r="K25" s="16"/>
      <c r="Y25" s="2">
        <v>22</v>
      </c>
      <c r="Z25" s="14" t="s">
        <v>174</v>
      </c>
      <c r="AA25" s="3" t="s">
        <v>12</v>
      </c>
      <c r="AB25" s="2">
        <v>22</v>
      </c>
      <c r="AC25" s="2">
        <v>4</v>
      </c>
      <c r="AD25" s="6" t="s">
        <v>175</v>
      </c>
      <c r="AE25" s="2">
        <v>80</v>
      </c>
      <c r="AF25" s="6" t="s">
        <v>70</v>
      </c>
      <c r="AG25" s="2">
        <v>7</v>
      </c>
      <c r="AH25" s="2">
        <v>0.018</v>
      </c>
      <c r="AI25" s="2">
        <v>2500</v>
      </c>
      <c r="AJ25" s="2">
        <v>100</v>
      </c>
      <c r="AK25" s="2">
        <v>0.16</v>
      </c>
      <c r="AL25" s="2">
        <v>2</v>
      </c>
    </row>
    <row r="26" spans="1:38" ht="12.75">
      <c r="A26" s="24" t="str">
        <f>IF($C$18+A19*D38&gt;VLOOKUP(A16,Y4:AL41,11),"          Reduce expected years of ownership."," ")</f>
        <v> </v>
      </c>
      <c r="F26" s="44"/>
      <c r="G26" s="7"/>
      <c r="I26" s="16" t="s">
        <v>162</v>
      </c>
      <c r="J26" s="16"/>
      <c r="K26" s="16"/>
      <c r="Y26" s="2">
        <v>23</v>
      </c>
      <c r="Z26" s="14" t="s">
        <v>65</v>
      </c>
      <c r="AA26" s="1" t="s">
        <v>12</v>
      </c>
      <c r="AB26" s="2">
        <v>23</v>
      </c>
      <c r="AC26" s="2">
        <v>2</v>
      </c>
      <c r="AD26" s="6" t="s">
        <v>40</v>
      </c>
      <c r="AE26" s="2">
        <v>80</v>
      </c>
      <c r="AF26" s="6" t="s">
        <v>32</v>
      </c>
      <c r="AG26" s="2">
        <v>5</v>
      </c>
      <c r="AH26" s="2">
        <v>0.018</v>
      </c>
      <c r="AI26" s="2">
        <v>3000</v>
      </c>
      <c r="AJ26" s="2">
        <v>55</v>
      </c>
      <c r="AK26" s="2">
        <v>0.06</v>
      </c>
      <c r="AL26" s="2">
        <v>2</v>
      </c>
    </row>
    <row r="27" spans="1:38" ht="12.75">
      <c r="A27" s="11"/>
      <c r="B27" s="4"/>
      <c r="C27" s="4"/>
      <c r="D27" s="4"/>
      <c r="E27" s="4"/>
      <c r="F27" s="10"/>
      <c r="G27" s="7"/>
      <c r="I27" s="16" t="s">
        <v>163</v>
      </c>
      <c r="J27" s="16"/>
      <c r="K27" s="16"/>
      <c r="Y27" s="2">
        <v>24</v>
      </c>
      <c r="Z27" s="14" t="s">
        <v>66</v>
      </c>
      <c r="AA27" s="3" t="s">
        <v>12</v>
      </c>
      <c r="AB27" s="2">
        <v>24</v>
      </c>
      <c r="AC27" s="2">
        <v>3</v>
      </c>
      <c r="AD27" s="6" t="s">
        <v>19</v>
      </c>
      <c r="AE27" s="2">
        <v>80</v>
      </c>
      <c r="AF27" s="6" t="s">
        <v>150</v>
      </c>
      <c r="AG27" s="2">
        <v>10</v>
      </c>
      <c r="AH27" s="2">
        <v>0.018</v>
      </c>
      <c r="AI27" s="2">
        <v>2500</v>
      </c>
      <c r="AJ27" s="2">
        <v>60</v>
      </c>
      <c r="AK27" s="2">
        <v>0.17</v>
      </c>
      <c r="AL27" s="2">
        <v>1.4</v>
      </c>
    </row>
    <row r="28" spans="1:38" ht="12.75">
      <c r="A28" s="15" t="s">
        <v>68</v>
      </c>
      <c r="B28" s="16"/>
      <c r="C28" s="16"/>
      <c r="D28" s="16"/>
      <c r="E28" s="16"/>
      <c r="F28" s="45"/>
      <c r="G28" s="8"/>
      <c r="I28" s="16" t="s">
        <v>164</v>
      </c>
      <c r="J28" s="16"/>
      <c r="K28" s="16"/>
      <c r="Y28" s="2">
        <v>25</v>
      </c>
      <c r="Z28" s="14" t="s">
        <v>151</v>
      </c>
      <c r="AA28" s="3" t="s">
        <v>12</v>
      </c>
      <c r="AB28" s="2">
        <v>25</v>
      </c>
      <c r="AC28" s="2">
        <v>3</v>
      </c>
      <c r="AD28" s="3" t="s">
        <v>67</v>
      </c>
      <c r="AE28" s="2">
        <v>75</v>
      </c>
      <c r="AF28" s="6" t="s">
        <v>51</v>
      </c>
      <c r="AG28" s="2">
        <v>4</v>
      </c>
      <c r="AH28" s="2">
        <v>0.018</v>
      </c>
      <c r="AI28" s="2">
        <v>2000</v>
      </c>
      <c r="AJ28" s="2">
        <v>80</v>
      </c>
      <c r="AK28" s="2">
        <v>0.23</v>
      </c>
      <c r="AL28" s="2">
        <v>1.8</v>
      </c>
    </row>
    <row r="29" spans="1:38" ht="12.75">
      <c r="A29" s="23">
        <v>11</v>
      </c>
      <c r="B29" s="20" t="s">
        <v>71</v>
      </c>
      <c r="C29" s="16"/>
      <c r="D29" s="16"/>
      <c r="E29" s="16"/>
      <c r="F29" s="44"/>
      <c r="G29" s="8"/>
      <c r="I29" s="16" t="s">
        <v>165</v>
      </c>
      <c r="J29" s="16"/>
      <c r="K29" s="16"/>
      <c r="Y29" s="2">
        <v>26</v>
      </c>
      <c r="Z29" s="14" t="s">
        <v>152</v>
      </c>
      <c r="AA29" s="3" t="s">
        <v>12</v>
      </c>
      <c r="AB29" s="2">
        <v>26</v>
      </c>
      <c r="AC29" s="2">
        <v>3</v>
      </c>
      <c r="AD29" s="6" t="s">
        <v>19</v>
      </c>
      <c r="AE29" s="2">
        <v>80</v>
      </c>
      <c r="AF29" s="6" t="s">
        <v>70</v>
      </c>
      <c r="AG29" s="2">
        <v>5</v>
      </c>
      <c r="AH29" s="2">
        <v>0.018</v>
      </c>
      <c r="AI29" s="2">
        <v>3000</v>
      </c>
      <c r="AJ29" s="2">
        <v>75</v>
      </c>
      <c r="AK29" s="2">
        <v>0.1</v>
      </c>
      <c r="AL29" s="2">
        <v>1.8</v>
      </c>
    </row>
    <row r="30" spans="1:38" ht="12.75">
      <c r="A30" s="25"/>
      <c r="B30" s="14" t="s">
        <v>73</v>
      </c>
      <c r="C30" s="16"/>
      <c r="D30" s="26">
        <f>A31*A32</f>
        <v>72</v>
      </c>
      <c r="E30" s="14" t="s">
        <v>74</v>
      </c>
      <c r="F30" s="44"/>
      <c r="G30" s="8"/>
      <c r="I30" s="16" t="s">
        <v>166</v>
      </c>
      <c r="J30" s="16"/>
      <c r="K30" s="16"/>
      <c r="Y30" s="2">
        <v>27</v>
      </c>
      <c r="Z30" s="14" t="s">
        <v>153</v>
      </c>
      <c r="AA30" s="3" t="s">
        <v>12</v>
      </c>
      <c r="AB30" s="2">
        <v>27</v>
      </c>
      <c r="AC30" s="2">
        <v>3</v>
      </c>
      <c r="AD30" s="3" t="s">
        <v>69</v>
      </c>
      <c r="AE30" s="2">
        <v>65</v>
      </c>
      <c r="AF30" s="6" t="s">
        <v>32</v>
      </c>
      <c r="AG30" s="2">
        <v>5</v>
      </c>
      <c r="AH30" s="2">
        <v>0.018</v>
      </c>
      <c r="AI30" s="2">
        <v>1500</v>
      </c>
      <c r="AJ30" s="2">
        <v>90</v>
      </c>
      <c r="AK30" s="2">
        <v>0.43</v>
      </c>
      <c r="AL30" s="2">
        <v>1.8</v>
      </c>
    </row>
    <row r="31" spans="1:38" ht="12.75">
      <c r="A31" s="23">
        <v>72</v>
      </c>
      <c r="B31" s="20" t="s">
        <v>76</v>
      </c>
      <c r="C31" s="16"/>
      <c r="D31" s="16"/>
      <c r="E31" s="16"/>
      <c r="F31" s="44"/>
      <c r="G31" s="8"/>
      <c r="I31" s="57" t="s">
        <v>181</v>
      </c>
      <c r="J31" s="16"/>
      <c r="K31" s="16"/>
      <c r="Y31" s="2">
        <v>28</v>
      </c>
      <c r="Z31" s="14" t="s">
        <v>75</v>
      </c>
      <c r="AA31" s="3" t="s">
        <v>12</v>
      </c>
      <c r="AB31" s="2">
        <v>28</v>
      </c>
      <c r="AC31" s="2">
        <v>3</v>
      </c>
      <c r="AD31" s="6" t="s">
        <v>67</v>
      </c>
      <c r="AE31" s="2">
        <v>70</v>
      </c>
      <c r="AF31" s="6" t="s">
        <v>154</v>
      </c>
      <c r="AG31" s="2">
        <v>3</v>
      </c>
      <c r="AH31" s="2">
        <v>0.018</v>
      </c>
      <c r="AI31" s="2">
        <v>2500</v>
      </c>
      <c r="AJ31" s="2">
        <v>65</v>
      </c>
      <c r="AK31" s="2">
        <v>0.15</v>
      </c>
      <c r="AL31" s="2">
        <v>1.6</v>
      </c>
    </row>
    <row r="32" spans="1:38" ht="12.75">
      <c r="A32" s="27">
        <v>1</v>
      </c>
      <c r="B32" s="20" t="s">
        <v>78</v>
      </c>
      <c r="C32" s="16"/>
      <c r="D32" s="16"/>
      <c r="E32" s="16"/>
      <c r="F32" s="44"/>
      <c r="G32" s="8"/>
      <c r="I32" s="16" t="s">
        <v>167</v>
      </c>
      <c r="J32" s="16"/>
      <c r="K32" s="16"/>
      <c r="Y32" s="2">
        <v>29</v>
      </c>
      <c r="Z32" s="14" t="s">
        <v>77</v>
      </c>
      <c r="AA32" s="3" t="s">
        <v>12</v>
      </c>
      <c r="AB32" s="2">
        <v>29</v>
      </c>
      <c r="AC32" s="2">
        <v>2</v>
      </c>
      <c r="AD32" s="3" t="s">
        <v>67</v>
      </c>
      <c r="AE32" s="2">
        <v>70</v>
      </c>
      <c r="AF32" s="6" t="s">
        <v>155</v>
      </c>
      <c r="AG32" s="2">
        <v>3.5</v>
      </c>
      <c r="AH32" s="2">
        <v>0.018</v>
      </c>
      <c r="AI32" s="2">
        <v>4000</v>
      </c>
      <c r="AJ32" s="2">
        <v>50</v>
      </c>
      <c r="AK32" s="2">
        <v>0.03</v>
      </c>
      <c r="AL32" s="2">
        <v>2</v>
      </c>
    </row>
    <row r="33" spans="1:38" ht="12.75">
      <c r="A33" s="28" t="s">
        <v>81</v>
      </c>
      <c r="B33" s="16"/>
      <c r="C33" s="16"/>
      <c r="D33" s="16"/>
      <c r="E33" s="16"/>
      <c r="F33" s="44"/>
      <c r="G33" s="8"/>
      <c r="I33" s="16" t="s">
        <v>168</v>
      </c>
      <c r="J33" s="16"/>
      <c r="K33" s="16"/>
      <c r="Y33" s="2">
        <v>30</v>
      </c>
      <c r="Z33" s="14" t="s">
        <v>177</v>
      </c>
      <c r="AA33" s="3" t="s">
        <v>12</v>
      </c>
      <c r="AB33" s="2">
        <v>30</v>
      </c>
      <c r="AC33" s="2">
        <v>3</v>
      </c>
      <c r="AD33" s="6" t="s">
        <v>178</v>
      </c>
      <c r="AE33" s="2">
        <v>70</v>
      </c>
      <c r="AF33" s="6" t="s">
        <v>179</v>
      </c>
      <c r="AG33" s="2">
        <v>7</v>
      </c>
      <c r="AH33" s="3">
        <v>0.018</v>
      </c>
      <c r="AI33" s="2">
        <v>1200</v>
      </c>
      <c r="AJ33" s="2">
        <v>80</v>
      </c>
      <c r="AK33" s="2">
        <v>0.63</v>
      </c>
      <c r="AL33" s="2">
        <v>1.3</v>
      </c>
    </row>
    <row r="34" spans="1:38" ht="12.75">
      <c r="A34" s="17">
        <v>6</v>
      </c>
      <c r="B34" s="20" t="s">
        <v>83</v>
      </c>
      <c r="C34" s="16"/>
      <c r="D34" s="16"/>
      <c r="E34" s="16"/>
      <c r="F34" s="44"/>
      <c r="G34" s="8"/>
      <c r="I34" s="16" t="s">
        <v>169</v>
      </c>
      <c r="J34" s="16"/>
      <c r="K34" s="16"/>
      <c r="Y34" s="2">
        <v>31</v>
      </c>
      <c r="Z34" s="14" t="s">
        <v>79</v>
      </c>
      <c r="AA34" s="3" t="s">
        <v>12</v>
      </c>
      <c r="AB34" s="2">
        <v>31</v>
      </c>
      <c r="AC34" s="2">
        <v>3</v>
      </c>
      <c r="AD34" s="3" t="s">
        <v>80</v>
      </c>
      <c r="AE34" s="2">
        <v>65</v>
      </c>
      <c r="AF34" s="3" t="s">
        <v>49</v>
      </c>
      <c r="AG34" s="2">
        <v>6.5</v>
      </c>
      <c r="AH34" s="2">
        <v>0.011</v>
      </c>
      <c r="AI34" s="2">
        <v>1500</v>
      </c>
      <c r="AJ34" s="2">
        <v>70</v>
      </c>
      <c r="AK34" s="2">
        <v>0.41</v>
      </c>
      <c r="AL34" s="2">
        <v>1.3</v>
      </c>
    </row>
    <row r="35" spans="1:38" ht="13.5" thickBot="1">
      <c r="A35" s="13"/>
      <c r="B35" s="5"/>
      <c r="C35" s="5"/>
      <c r="D35" s="5"/>
      <c r="E35" s="5"/>
      <c r="F35" s="40"/>
      <c r="G35" s="8"/>
      <c r="I35" s="16" t="s">
        <v>170</v>
      </c>
      <c r="J35" s="16"/>
      <c r="K35" s="16"/>
      <c r="Y35" s="2">
        <v>32</v>
      </c>
      <c r="Z35" s="14" t="s">
        <v>82</v>
      </c>
      <c r="AA35" s="3" t="s">
        <v>12</v>
      </c>
      <c r="AB35" s="2">
        <v>32</v>
      </c>
      <c r="AC35" s="2">
        <v>3</v>
      </c>
      <c r="AD35" s="1" t="s">
        <v>13</v>
      </c>
      <c r="AF35" s="1" t="s">
        <v>13</v>
      </c>
      <c r="AH35" s="2">
        <v>0</v>
      </c>
      <c r="AI35" s="2">
        <v>1500</v>
      </c>
      <c r="AJ35" s="2">
        <v>45</v>
      </c>
      <c r="AK35" s="2">
        <v>0.22</v>
      </c>
      <c r="AL35" s="2">
        <v>1.8</v>
      </c>
    </row>
    <row r="36" spans="1:38" ht="13.5" thickTop="1">
      <c r="A36" s="29" t="s">
        <v>85</v>
      </c>
      <c r="B36" s="16"/>
      <c r="C36" s="14" t="s">
        <v>86</v>
      </c>
      <c r="D36" s="16"/>
      <c r="E36" s="16"/>
      <c r="F36" s="47"/>
      <c r="G36" s="8"/>
      <c r="I36" s="16" t="s">
        <v>171</v>
      </c>
      <c r="J36" s="16"/>
      <c r="K36" s="16"/>
      <c r="Y36" s="2">
        <v>33</v>
      </c>
      <c r="Z36" s="14" t="s">
        <v>84</v>
      </c>
      <c r="AA36" s="3" t="s">
        <v>12</v>
      </c>
      <c r="AB36" s="2">
        <v>33</v>
      </c>
      <c r="AC36" s="2">
        <v>3</v>
      </c>
      <c r="AD36" s="1" t="s">
        <v>13</v>
      </c>
      <c r="AF36" s="1" t="s">
        <v>13</v>
      </c>
      <c r="AH36" s="2">
        <v>0</v>
      </c>
      <c r="AI36" s="2">
        <v>2000</v>
      </c>
      <c r="AJ36" s="2">
        <v>50</v>
      </c>
      <c r="AK36" s="2">
        <v>0.16</v>
      </c>
      <c r="AL36" s="2">
        <v>1.3</v>
      </c>
    </row>
    <row r="37" spans="1:7" ht="12.75">
      <c r="A37" s="30" t="s">
        <v>85</v>
      </c>
      <c r="B37" s="20" t="s">
        <v>87</v>
      </c>
      <c r="C37" s="16"/>
      <c r="D37" s="31">
        <f>A24*A20*A23/100/8.25</f>
        <v>8.654545454545456</v>
      </c>
      <c r="E37" s="16"/>
      <c r="F37" s="44"/>
      <c r="G37" s="8"/>
    </row>
    <row r="38" spans="1:7" ht="12.75">
      <c r="A38" s="30" t="s">
        <v>85</v>
      </c>
      <c r="B38" s="20" t="s">
        <v>88</v>
      </c>
      <c r="C38" s="16"/>
      <c r="D38" s="31">
        <f>A21*A22/D37</f>
        <v>80.76680672268905</v>
      </c>
      <c r="E38" s="16"/>
      <c r="F38" s="44"/>
      <c r="G38" s="8"/>
    </row>
    <row r="39" spans="1:7" ht="16.5" thickBot="1">
      <c r="A39" s="38" t="s">
        <v>89</v>
      </c>
      <c r="B39" s="39"/>
      <c r="C39" s="39"/>
      <c r="D39" s="39"/>
      <c r="E39" s="39"/>
      <c r="F39" s="40"/>
      <c r="G39" s="8"/>
    </row>
    <row r="40" spans="1:7" ht="13.5" thickTop="1">
      <c r="A40" s="30" t="s">
        <v>85</v>
      </c>
      <c r="B40" s="16"/>
      <c r="C40" s="14" t="s">
        <v>90</v>
      </c>
      <c r="D40" s="16"/>
      <c r="E40" s="16"/>
      <c r="F40" s="43"/>
      <c r="G40" s="8"/>
    </row>
    <row r="41" spans="1:7" ht="12.75">
      <c r="A41" s="30" t="s">
        <v>85</v>
      </c>
      <c r="B41" s="16"/>
      <c r="C41" s="14" t="s">
        <v>91</v>
      </c>
      <c r="D41" s="14" t="s">
        <v>92</v>
      </c>
      <c r="E41" s="16"/>
      <c r="F41" s="43"/>
      <c r="G41" s="8"/>
    </row>
    <row r="42" spans="1:26" ht="12.75">
      <c r="A42" s="30" t="s">
        <v>85</v>
      </c>
      <c r="B42" s="14" t="s">
        <v>93</v>
      </c>
      <c r="C42" s="33">
        <f>A17*A67/100</f>
        <v>2058.7225656477885</v>
      </c>
      <c r="D42" s="33">
        <f>A5*A66/100</f>
        <v>3711.9662995917424</v>
      </c>
      <c r="E42" s="16"/>
      <c r="F42" s="43"/>
      <c r="G42" s="8"/>
      <c r="Z42" s="1" t="s">
        <v>94</v>
      </c>
    </row>
    <row r="43" spans="1:29" ht="12.75">
      <c r="A43" s="25"/>
      <c r="B43" s="14" t="s">
        <v>95</v>
      </c>
      <c r="C43" s="33">
        <f>A77*(C69*((C18+A19*D38)/1000)^D69-C68*(C18/1000)^D68)/A19</f>
        <v>482.430260232681</v>
      </c>
      <c r="D43" s="33">
        <f>A76*(C68*((C6+A7*A11)/1000)^D68-C68*(C6/1000)^D68)/A7</f>
        <v>351.68</v>
      </c>
      <c r="E43" s="16"/>
      <c r="F43" s="43"/>
      <c r="G43" s="8"/>
      <c r="Z43" s="3" t="s">
        <v>96</v>
      </c>
      <c r="AC43" s="3" t="s">
        <v>97</v>
      </c>
    </row>
    <row r="44" spans="1:26" ht="12.75">
      <c r="A44" s="25"/>
      <c r="B44" s="14" t="s">
        <v>98</v>
      </c>
      <c r="C44" s="33">
        <f>A8*A74*D38*A10</f>
        <v>586.3670168067225</v>
      </c>
      <c r="D44" s="32"/>
      <c r="E44" s="16"/>
      <c r="F44" s="43"/>
      <c r="G44" s="8"/>
      <c r="Z44" s="3" t="s">
        <v>99</v>
      </c>
    </row>
    <row r="45" spans="1:7" ht="12.75">
      <c r="A45" s="25"/>
      <c r="B45" s="14" t="s">
        <v>100</v>
      </c>
      <c r="C45" s="33">
        <f>C44*0.15</f>
        <v>87.95505252100837</v>
      </c>
      <c r="D45" s="16"/>
      <c r="E45" s="14" t="s">
        <v>101</v>
      </c>
      <c r="F45" s="43"/>
      <c r="G45" s="8"/>
    </row>
    <row r="46" spans="1:26" ht="12.75">
      <c r="A46" s="25"/>
      <c r="B46" s="14" t="s">
        <v>102</v>
      </c>
      <c r="C46" s="33">
        <f>D38*A29</f>
        <v>888.4348739495796</v>
      </c>
      <c r="D46" s="16"/>
      <c r="E46" s="33">
        <f>D42+D43</f>
        <v>4063.6462995917423</v>
      </c>
      <c r="F46" s="43"/>
      <c r="G46" s="8"/>
      <c r="Z46" s="3" t="s">
        <v>97</v>
      </c>
    </row>
    <row r="47" spans="1:26" ht="12.75">
      <c r="A47" s="25"/>
      <c r="B47" s="16"/>
      <c r="C47" s="32"/>
      <c r="D47" s="20" t="s">
        <v>103</v>
      </c>
      <c r="E47" s="16"/>
      <c r="F47" s="43"/>
      <c r="G47" s="8"/>
      <c r="Z47" s="3" t="s">
        <v>97</v>
      </c>
    </row>
    <row r="48" spans="1:26" ht="12.75">
      <c r="A48" s="25"/>
      <c r="B48" s="14" t="s">
        <v>104</v>
      </c>
      <c r="C48" s="33">
        <f>SUM(C42:C46)</f>
        <v>4103.90976915778</v>
      </c>
      <c r="D48" s="16"/>
      <c r="E48" s="33">
        <f>E50*D38</f>
        <v>820.519338171242</v>
      </c>
      <c r="F48" s="43"/>
      <c r="G48" s="8"/>
      <c r="Z48" s="3" t="s">
        <v>97</v>
      </c>
    </row>
    <row r="49" spans="1:26" ht="12.75">
      <c r="A49" s="25"/>
      <c r="B49" s="16"/>
      <c r="C49" s="16"/>
      <c r="D49" s="16"/>
      <c r="E49" s="34" t="s">
        <v>105</v>
      </c>
      <c r="F49" s="44"/>
      <c r="G49" s="8"/>
      <c r="Z49" s="3" t="s">
        <v>106</v>
      </c>
    </row>
    <row r="50" spans="1:26" ht="12.75">
      <c r="A50" s="25"/>
      <c r="B50" s="16"/>
      <c r="C50" s="16"/>
      <c r="D50" s="16"/>
      <c r="E50" s="41">
        <f>E46/A11</f>
        <v>10.159115748979355</v>
      </c>
      <c r="F50" s="48" t="s">
        <v>97</v>
      </c>
      <c r="G50" s="8"/>
      <c r="Z50" s="3" t="s">
        <v>107</v>
      </c>
    </row>
    <row r="51" spans="1:26" ht="12.75">
      <c r="A51" s="25"/>
      <c r="B51" s="16"/>
      <c r="C51" s="14" t="s">
        <v>108</v>
      </c>
      <c r="D51" s="16"/>
      <c r="E51" s="16"/>
      <c r="F51" s="43"/>
      <c r="G51" s="8"/>
      <c r="Z51" s="3" t="s">
        <v>109</v>
      </c>
    </row>
    <row r="52" spans="1:26" ht="13.5" thickBot="1">
      <c r="A52" s="28" t="s">
        <v>110</v>
      </c>
      <c r="B52" s="16"/>
      <c r="C52" s="50" t="s">
        <v>111</v>
      </c>
      <c r="D52" s="50" t="s">
        <v>112</v>
      </c>
      <c r="E52" s="50" t="s">
        <v>113</v>
      </c>
      <c r="F52" s="43"/>
      <c r="G52" s="8"/>
      <c r="Z52" s="3" t="s">
        <v>114</v>
      </c>
    </row>
    <row r="53" spans="1:7" ht="13.5" thickTop="1">
      <c r="A53" s="35">
        <f>C48+E48</f>
        <v>4924.429107329022</v>
      </c>
      <c r="B53" s="14" t="s">
        <v>4</v>
      </c>
      <c r="C53" s="26">
        <f>D53/$A$22</f>
        <v>5.871115549581945</v>
      </c>
      <c r="D53" s="26">
        <f>C48/A21</f>
        <v>17.613346648745836</v>
      </c>
      <c r="E53" s="26">
        <f>C48/D38</f>
        <v>50.811836392745576</v>
      </c>
      <c r="F53" s="43"/>
      <c r="G53" s="8"/>
    </row>
    <row r="54" spans="1:7" ht="12.75">
      <c r="A54" s="25"/>
      <c r="B54" s="14" t="s">
        <v>92</v>
      </c>
      <c r="C54" s="26">
        <f>D54/$A$22</f>
        <v>1.1738474079703034</v>
      </c>
      <c r="D54" s="26">
        <f>E48/A21</f>
        <v>3.52154222391091</v>
      </c>
      <c r="E54" s="26">
        <f>+E50</f>
        <v>10.159115748979355</v>
      </c>
      <c r="F54" s="43"/>
      <c r="G54" s="8"/>
    </row>
    <row r="55" spans="1:7" ht="12.75">
      <c r="A55" s="28" t="s">
        <v>115</v>
      </c>
      <c r="B55" s="16"/>
      <c r="C55" s="53"/>
      <c r="D55" s="54"/>
      <c r="E55" s="54"/>
      <c r="F55" s="43"/>
      <c r="G55" s="8"/>
    </row>
    <row r="56" spans="1:7" ht="12.75">
      <c r="A56" s="35">
        <f>(VLOOKUP($A$16,$Y$4:$AL$41,10)*$A$21^2*$A$31*$A$32)/(4*$A$34*$D$37)</f>
        <v>338.7359873949579</v>
      </c>
      <c r="B56" s="14" t="s">
        <v>116</v>
      </c>
      <c r="C56" s="26">
        <f>D56/$A$22</f>
        <v>7.044962957552248</v>
      </c>
      <c r="D56" s="26">
        <f>D53+D54</f>
        <v>21.134888872656745</v>
      </c>
      <c r="E56" s="26">
        <f>E53+E54</f>
        <v>60.97095214172493</v>
      </c>
      <c r="F56" s="43"/>
      <c r="G56" s="8"/>
    </row>
    <row r="57" spans="1:7" ht="12.75">
      <c r="A57" s="25"/>
      <c r="B57" s="14" t="s">
        <v>117</v>
      </c>
      <c r="C57" s="26">
        <f>D57/$A$22</f>
        <v>0.4846008403361343</v>
      </c>
      <c r="D57" s="26">
        <f>A56/$A$21</f>
        <v>1.453802521008403</v>
      </c>
      <c r="E57" s="26">
        <f>A56/D38</f>
        <v>4.194</v>
      </c>
      <c r="F57" s="43"/>
      <c r="G57" s="8"/>
    </row>
    <row r="58" spans="1:7" ht="12.75">
      <c r="A58" s="28" t="s">
        <v>118</v>
      </c>
      <c r="B58" s="16"/>
      <c r="C58" s="36"/>
      <c r="D58" s="36"/>
      <c r="E58" s="36"/>
      <c r="F58" s="43"/>
      <c r="G58" s="8"/>
    </row>
    <row r="59" spans="1:7" ht="12.75">
      <c r="A59" s="35">
        <f>E48+C48+A56</f>
        <v>5263.1650947239805</v>
      </c>
      <c r="B59" s="14" t="s">
        <v>119</v>
      </c>
      <c r="C59" s="26">
        <f>C56+C57</f>
        <v>7.5295637978883825</v>
      </c>
      <c r="D59" s="26">
        <f>D56+D57</f>
        <v>22.588691393665147</v>
      </c>
      <c r="E59" s="26">
        <f>E56+E57</f>
        <v>65.16495214172492</v>
      </c>
      <c r="F59" s="43"/>
      <c r="G59" s="8"/>
    </row>
    <row r="60" spans="1:7" ht="13.5" thickBot="1">
      <c r="A60" s="37"/>
      <c r="B60" s="39"/>
      <c r="C60" s="39"/>
      <c r="D60" s="39"/>
      <c r="E60" s="39"/>
      <c r="F60" s="49"/>
      <c r="G60" s="8"/>
    </row>
    <row r="61" spans="1:26" ht="12.75" thickTop="1">
      <c r="A61" s="9"/>
      <c r="B61" s="9"/>
      <c r="C61" s="9"/>
      <c r="D61" s="9"/>
      <c r="E61" s="9"/>
      <c r="F61" s="9"/>
      <c r="Z61" s="3" t="s">
        <v>120</v>
      </c>
    </row>
    <row r="62" ht="12">
      <c r="Z62" s="3" t="s">
        <v>121</v>
      </c>
    </row>
    <row r="64" ht="12">
      <c r="Z64" s="3" t="s">
        <v>122</v>
      </c>
    </row>
    <row r="65" spans="1:26" ht="12.75">
      <c r="A65" s="16"/>
      <c r="B65" s="16"/>
      <c r="C65" s="16"/>
      <c r="D65" s="16"/>
      <c r="E65" s="16"/>
      <c r="F65" s="16"/>
      <c r="G65" s="16"/>
      <c r="H65" s="16"/>
      <c r="Z65" s="3" t="s">
        <v>123</v>
      </c>
    </row>
    <row r="66" spans="1:8" ht="12.75">
      <c r="A66" s="18">
        <f>VLOOKUP(A7,H1:L15,2)</f>
        <v>11.821548724814466</v>
      </c>
      <c r="B66" s="20" t="s">
        <v>124</v>
      </c>
      <c r="C66" s="16"/>
      <c r="D66" s="16"/>
      <c r="E66" s="16"/>
      <c r="F66" s="16"/>
      <c r="G66" s="16"/>
      <c r="H66" s="16"/>
    </row>
    <row r="67" spans="1:8" ht="12.75">
      <c r="A67" s="18">
        <f>VLOOKUP(A19,H1:L15,A71+1)</f>
        <v>8.907977005096225</v>
      </c>
      <c r="B67" s="20" t="s">
        <v>125</v>
      </c>
      <c r="C67" s="14" t="s">
        <v>9</v>
      </c>
      <c r="D67" s="14" t="s">
        <v>10</v>
      </c>
      <c r="E67" s="16"/>
      <c r="F67" s="16"/>
      <c r="G67" s="16"/>
      <c r="H67" s="16"/>
    </row>
    <row r="68" spans="1:8" ht="12.75">
      <c r="A68" s="16"/>
      <c r="B68" s="20" t="s">
        <v>126</v>
      </c>
      <c r="C68" s="18">
        <f>VLOOKUP($A$4,$Y$4:$AL$41,13)</f>
        <v>0.007</v>
      </c>
      <c r="D68" s="18">
        <f>VLOOKUP($A$4,$Y$4:$AL$41,14)</f>
        <v>2</v>
      </c>
      <c r="E68" s="16"/>
      <c r="F68" s="16"/>
      <c r="G68" s="16"/>
      <c r="H68" s="16"/>
    </row>
    <row r="69" spans="1:8" ht="12.75">
      <c r="A69" s="16"/>
      <c r="B69" s="20" t="s">
        <v>127</v>
      </c>
      <c r="C69" s="18">
        <f>VLOOKUP($A$16,$Y$4:$AL$41,13)</f>
        <v>0.16</v>
      </c>
      <c r="D69" s="18">
        <f>VLOOKUP($A$16,$Y$4:$AL$41,14)</f>
        <v>2</v>
      </c>
      <c r="E69" s="16"/>
      <c r="F69" s="16"/>
      <c r="G69" s="16"/>
      <c r="H69" s="16"/>
    </row>
    <row r="70" spans="1:8" ht="12.75">
      <c r="A70" s="18">
        <v>1</v>
      </c>
      <c r="B70" s="20" t="s">
        <v>128</v>
      </c>
      <c r="C70" s="16"/>
      <c r="D70" s="16"/>
      <c r="E70" s="16"/>
      <c r="F70" s="16"/>
      <c r="G70" s="16"/>
      <c r="H70" s="16"/>
    </row>
    <row r="71" spans="1:8" ht="12.75">
      <c r="A71" s="18">
        <f>VLOOKUP(A16,AB4:AC36,2)</f>
        <v>4</v>
      </c>
      <c r="B71" s="20" t="s">
        <v>129</v>
      </c>
      <c r="C71" s="16"/>
      <c r="D71" s="16"/>
      <c r="E71" s="16"/>
      <c r="F71" s="16"/>
      <c r="G71" s="16"/>
      <c r="H71" s="16"/>
    </row>
    <row r="72" spans="1:8" ht="12.75">
      <c r="A72" s="16"/>
      <c r="B72" s="16"/>
      <c r="C72" s="16"/>
      <c r="D72" s="16"/>
      <c r="E72" s="16"/>
      <c r="F72" s="16"/>
      <c r="G72" s="16"/>
      <c r="H72" s="16"/>
    </row>
    <row r="73" spans="1:8" ht="12.75">
      <c r="A73" s="16"/>
      <c r="B73" s="16"/>
      <c r="C73" s="16"/>
      <c r="D73" s="16"/>
      <c r="E73" s="16"/>
      <c r="F73" s="16"/>
      <c r="G73" s="16"/>
      <c r="H73" s="16"/>
    </row>
    <row r="74" spans="1:8" ht="12.75">
      <c r="A74" s="18">
        <f>IF(A9="d",0.044,0.06)</f>
        <v>0.044</v>
      </c>
      <c r="B74" s="20" t="s">
        <v>130</v>
      </c>
      <c r="C74" s="16"/>
      <c r="D74" s="16"/>
      <c r="E74" s="16"/>
      <c r="F74" s="16"/>
      <c r="G74" s="16"/>
      <c r="H74" s="16"/>
    </row>
    <row r="75" spans="1:8" ht="12.75">
      <c r="A75" s="16"/>
      <c r="B75" s="20" t="s">
        <v>131</v>
      </c>
      <c r="C75" s="16"/>
      <c r="D75" s="16"/>
      <c r="E75" s="16"/>
      <c r="F75" s="16"/>
      <c r="G75" s="16"/>
      <c r="H75" s="16"/>
    </row>
    <row r="76" spans="1:8" ht="12.75">
      <c r="A76" s="33">
        <f>A5/D76</f>
        <v>31400</v>
      </c>
      <c r="B76" s="14" t="s">
        <v>132</v>
      </c>
      <c r="C76" s="16"/>
      <c r="D76" s="18">
        <f>IF(A6=0,1,68*(0.92)^A6/100)</f>
        <v>1</v>
      </c>
      <c r="E76" s="16"/>
      <c r="F76" s="16"/>
      <c r="G76" s="16"/>
      <c r="H76" s="16"/>
    </row>
    <row r="77" spans="1:8" ht="12.75">
      <c r="A77" s="33">
        <f>A17/D77</f>
        <v>23111</v>
      </c>
      <c r="B77" s="14" t="s">
        <v>133</v>
      </c>
      <c r="C77" s="16"/>
      <c r="D77" s="18">
        <f>IF(A18=0,1,IF(A71=2,64*0.855^A18/100,IF(A71=3,56*0.885^A18/100,60*0.885^A18/100)))</f>
        <v>1</v>
      </c>
      <c r="E77" s="16"/>
      <c r="F77" s="16"/>
      <c r="G77" s="16"/>
      <c r="H77" s="16"/>
    </row>
    <row r="78" spans="1:8" ht="12.75">
      <c r="A78" s="16"/>
      <c r="B78" s="16"/>
      <c r="C78" s="16"/>
      <c r="D78" s="16"/>
      <c r="E78" s="16"/>
      <c r="F78" s="16"/>
      <c r="G78" s="16"/>
      <c r="H78" s="16"/>
    </row>
    <row r="79" spans="1:8" ht="12.75">
      <c r="A79" s="16"/>
      <c r="B79" s="16"/>
      <c r="C79" s="16"/>
      <c r="D79" s="16"/>
      <c r="E79" s="16"/>
      <c r="F79" s="16"/>
      <c r="G79" s="16"/>
      <c r="H79" s="16"/>
    </row>
    <row r="80" spans="1:8" ht="12.75">
      <c r="A80" s="16"/>
      <c r="B80" s="16"/>
      <c r="C80" s="16"/>
      <c r="D80" s="16"/>
      <c r="E80" s="16"/>
      <c r="F80" s="16"/>
      <c r="G80" s="16"/>
      <c r="H80" s="16"/>
    </row>
    <row r="81" spans="1:8" ht="12.75">
      <c r="A81" s="20" t="s">
        <v>184</v>
      </c>
      <c r="B81" s="16"/>
      <c r="C81" s="16"/>
      <c r="D81" s="16"/>
      <c r="E81" s="16"/>
      <c r="F81" s="16"/>
      <c r="G81" s="16"/>
      <c r="H81" s="16"/>
    </row>
    <row r="82" spans="1:8" ht="12.75">
      <c r="A82" s="14" t="s">
        <v>134</v>
      </c>
      <c r="B82" s="16"/>
      <c r="C82" s="14" t="s">
        <v>135</v>
      </c>
      <c r="D82" s="16"/>
      <c r="E82" s="14" t="s">
        <v>136</v>
      </c>
      <c r="F82" s="16"/>
      <c r="G82" s="14" t="s">
        <v>137</v>
      </c>
      <c r="H82" s="16"/>
    </row>
    <row r="83" spans="1:8" ht="12.75">
      <c r="A83" s="14" t="s">
        <v>138</v>
      </c>
      <c r="B83" s="14" t="s">
        <v>139</v>
      </c>
      <c r="C83" s="14" t="s">
        <v>156</v>
      </c>
      <c r="D83" s="16"/>
      <c r="E83" s="14" t="s">
        <v>140</v>
      </c>
      <c r="F83" s="16"/>
      <c r="G83" s="14" t="s">
        <v>141</v>
      </c>
      <c r="H83" s="16"/>
    </row>
    <row r="84" spans="1:8" ht="12.75">
      <c r="A84" s="42" t="s">
        <v>1</v>
      </c>
      <c r="B84" s="42" t="s">
        <v>1</v>
      </c>
      <c r="C84" s="42" t="s">
        <v>1</v>
      </c>
      <c r="D84" s="42" t="s">
        <v>1</v>
      </c>
      <c r="E84" s="42" t="s">
        <v>1</v>
      </c>
      <c r="F84" s="42" t="s">
        <v>1</v>
      </c>
      <c r="G84" s="42" t="s">
        <v>1</v>
      </c>
      <c r="H84" s="16"/>
    </row>
    <row r="85" spans="1:8" ht="12.75">
      <c r="A85" s="18">
        <v>1</v>
      </c>
      <c r="B85" s="31">
        <f aca="true" t="shared" si="0" ref="B85:B99">B101-B102+(B101+B102)/2*(($A$100+$C$100)/100)</f>
        <v>45.568</v>
      </c>
      <c r="C85" s="31">
        <f aca="true" t="shared" si="1" ref="C85:C99">D101-D102+(D101+D102)/2*(($A$100+$C$100)/100)</f>
        <v>51.192</v>
      </c>
      <c r="D85" s="31"/>
      <c r="E85" s="31">
        <f aca="true" t="shared" si="2" ref="E85:E99">F101-F102+(F101+F102)/2*(($A$100+$C$100)/100)</f>
        <v>57.918</v>
      </c>
      <c r="F85" s="31"/>
      <c r="G85" s="31">
        <f aca="true" t="shared" si="3" ref="G85:G99">H101-H102+(H101+H102)/2*(($A$100+$C$100)/100)</f>
        <v>54.612</v>
      </c>
      <c r="H85" s="16"/>
    </row>
    <row r="86" spans="1:8" ht="12.75">
      <c r="A86" s="18">
        <v>2</v>
      </c>
      <c r="B86" s="31">
        <f t="shared" si="0"/>
        <v>11.010560000000003</v>
      </c>
      <c r="C86" s="31">
        <f t="shared" si="1"/>
        <v>11.851919999999996</v>
      </c>
      <c r="D86" s="31"/>
      <c r="E86" s="31">
        <f t="shared" si="2"/>
        <v>10.370429999999999</v>
      </c>
      <c r="F86" s="31"/>
      <c r="G86" s="31">
        <f t="shared" si="3"/>
        <v>11.149007999999998</v>
      </c>
      <c r="H86" s="16"/>
    </row>
    <row r="87" spans="1:8" ht="12.75">
      <c r="A87" s="18">
        <v>3</v>
      </c>
      <c r="B87" s="31">
        <f t="shared" si="0"/>
        <v>10.129715199999994</v>
      </c>
      <c r="C87" s="31">
        <f t="shared" si="1"/>
        <v>10.4889492</v>
      </c>
      <c r="D87" s="31"/>
      <c r="E87" s="31">
        <f t="shared" si="2"/>
        <v>9.177830550000005</v>
      </c>
      <c r="F87" s="31"/>
      <c r="G87" s="31">
        <f t="shared" si="3"/>
        <v>9.855723071999998</v>
      </c>
      <c r="H87" s="16"/>
    </row>
    <row r="88" spans="1:8" ht="12.75">
      <c r="A88" s="18">
        <v>4</v>
      </c>
      <c r="B88" s="31">
        <f t="shared" si="0"/>
        <v>9.319337984</v>
      </c>
      <c r="C88" s="31">
        <f t="shared" si="1"/>
        <v>9.282720042000001</v>
      </c>
      <c r="D88" s="31"/>
      <c r="E88" s="31">
        <f t="shared" si="2"/>
        <v>8.122380036749995</v>
      </c>
      <c r="F88" s="31"/>
      <c r="G88" s="31">
        <f t="shared" si="3"/>
        <v>8.712459195648002</v>
      </c>
      <c r="H88" s="16"/>
    </row>
    <row r="89" spans="1:8" ht="12.75">
      <c r="A89" s="18">
        <v>5</v>
      </c>
      <c r="B89" s="31">
        <f t="shared" si="0"/>
        <v>8.573790945280003</v>
      </c>
      <c r="C89" s="31">
        <f t="shared" si="1"/>
        <v>8.215207237170002</v>
      </c>
      <c r="D89" s="31"/>
      <c r="E89" s="31">
        <f t="shared" si="2"/>
        <v>7.188306332523755</v>
      </c>
      <c r="F89" s="31"/>
      <c r="G89" s="31">
        <f t="shared" si="3"/>
        <v>7.7018139289528325</v>
      </c>
      <c r="H89" s="16"/>
    </row>
    <row r="90" spans="1:8" ht="12.75">
      <c r="A90" s="18">
        <v>6</v>
      </c>
      <c r="B90" s="31">
        <f t="shared" si="0"/>
        <v>7.8878876696576015</v>
      </c>
      <c r="C90" s="31">
        <f t="shared" si="1"/>
        <v>7.270458404895445</v>
      </c>
      <c r="D90" s="31"/>
      <c r="E90" s="31">
        <f t="shared" si="2"/>
        <v>6.361651104283517</v>
      </c>
      <c r="F90" s="31"/>
      <c r="G90" s="31">
        <f t="shared" si="3"/>
        <v>6.808403513194303</v>
      </c>
      <c r="H90" s="16"/>
    </row>
    <row r="91" spans="1:8" ht="12.75">
      <c r="A91" s="18">
        <v>7</v>
      </c>
      <c r="B91" s="31">
        <f t="shared" si="0"/>
        <v>7.256856656084988</v>
      </c>
      <c r="C91" s="31">
        <f t="shared" si="1"/>
        <v>6.434355688332477</v>
      </c>
      <c r="D91" s="31"/>
      <c r="E91" s="31">
        <f t="shared" si="2"/>
        <v>5.630061227290915</v>
      </c>
      <c r="F91" s="31"/>
      <c r="G91" s="31">
        <f t="shared" si="3"/>
        <v>6.0186287056637635</v>
      </c>
      <c r="H91" s="16"/>
    </row>
    <row r="92" spans="1:8" ht="12.75">
      <c r="A92" s="18">
        <v>8</v>
      </c>
      <c r="B92" s="31">
        <f t="shared" si="0"/>
        <v>6.67630812359819</v>
      </c>
      <c r="C92" s="31">
        <f t="shared" si="1"/>
        <v>5.694404784174239</v>
      </c>
      <c r="D92" s="31"/>
      <c r="E92" s="31">
        <f t="shared" si="2"/>
        <v>4.982604186152461</v>
      </c>
      <c r="F92" s="31"/>
      <c r="G92" s="31">
        <f t="shared" si="3"/>
        <v>5.320467775806767</v>
      </c>
      <c r="H92" s="16"/>
    </row>
    <row r="93" spans="1:8" ht="12.75">
      <c r="A93" s="18">
        <v>9</v>
      </c>
      <c r="B93" s="31">
        <f t="shared" si="0"/>
        <v>6.142203473710341</v>
      </c>
      <c r="C93" s="31">
        <f t="shared" si="1"/>
        <v>5.0395482339942035</v>
      </c>
      <c r="D93" s="31"/>
      <c r="E93" s="31">
        <f t="shared" si="2"/>
        <v>4.409604704744926</v>
      </c>
      <c r="F93" s="31"/>
      <c r="G93" s="31">
        <f t="shared" si="3"/>
        <v>4.7032935138131835</v>
      </c>
      <c r="H93" s="16"/>
    </row>
    <row r="94" spans="1:8" ht="12.75">
      <c r="A94" s="18">
        <v>10</v>
      </c>
      <c r="B94" s="31">
        <f t="shared" si="0"/>
        <v>5.650827195813513</v>
      </c>
      <c r="C94" s="31">
        <f t="shared" si="1"/>
        <v>4.460000187084869</v>
      </c>
      <c r="D94" s="31"/>
      <c r="E94" s="31">
        <f t="shared" si="2"/>
        <v>3.9025001636992607</v>
      </c>
      <c r="F94" s="31"/>
      <c r="G94" s="31">
        <f t="shared" si="3"/>
        <v>4.157711466210854</v>
      </c>
      <c r="H94" s="16"/>
    </row>
    <row r="95" spans="1:8" ht="12.75">
      <c r="A95" s="18">
        <v>11</v>
      </c>
      <c r="B95" s="31">
        <f t="shared" si="0"/>
        <v>5.198761020148432</v>
      </c>
      <c r="C95" s="31">
        <f t="shared" si="1"/>
        <v>3.947100165570108</v>
      </c>
      <c r="D95" s="31"/>
      <c r="E95" s="31">
        <f t="shared" si="2"/>
        <v>3.453712644873843</v>
      </c>
      <c r="F95" s="31"/>
      <c r="G95" s="31">
        <f t="shared" si="3"/>
        <v>3.6754169361303957</v>
      </c>
      <c r="H95" s="16"/>
    </row>
    <row r="96" spans="1:8" ht="12.75">
      <c r="A96" s="18">
        <v>12</v>
      </c>
      <c r="B96" s="31">
        <f t="shared" si="0"/>
        <v>4.782860138536556</v>
      </c>
      <c r="C96" s="31">
        <f t="shared" si="1"/>
        <v>3.4931836465295474</v>
      </c>
      <c r="D96" s="31"/>
      <c r="E96" s="31">
        <f t="shared" si="2"/>
        <v>3.0565356907133543</v>
      </c>
      <c r="F96" s="31"/>
      <c r="G96" s="31">
        <f t="shared" si="3"/>
        <v>3.2490685715392673</v>
      </c>
      <c r="H96" s="16"/>
    </row>
    <row r="97" spans="1:8" ht="12.75">
      <c r="A97" s="18">
        <v>13</v>
      </c>
      <c r="B97" s="31">
        <f t="shared" si="0"/>
        <v>4.400231327453634</v>
      </c>
      <c r="C97" s="31">
        <f t="shared" si="1"/>
        <v>3.0914675271786507</v>
      </c>
      <c r="D97" s="31"/>
      <c r="E97" s="31">
        <f t="shared" si="2"/>
        <v>2.7050340862813202</v>
      </c>
      <c r="F97" s="31"/>
      <c r="G97" s="31">
        <f t="shared" si="3"/>
        <v>2.872176617240715</v>
      </c>
      <c r="H97" s="16"/>
    </row>
    <row r="98" spans="1:8" ht="12.75">
      <c r="A98" s="18">
        <v>14</v>
      </c>
      <c r="B98" s="31">
        <f t="shared" si="0"/>
        <v>4.048212821257339</v>
      </c>
      <c r="C98" s="31">
        <f t="shared" si="1"/>
        <v>2.7359487615531024</v>
      </c>
      <c r="D98" s="31"/>
      <c r="E98" s="31">
        <f t="shared" si="2"/>
        <v>2.393955166358963</v>
      </c>
      <c r="F98" s="31"/>
      <c r="G98" s="31">
        <f t="shared" si="3"/>
        <v>2.5390041296407935</v>
      </c>
      <c r="H98" s="16"/>
    </row>
    <row r="99" spans="1:8" ht="12.75">
      <c r="A99" s="18">
        <v>15</v>
      </c>
      <c r="B99" s="31">
        <f t="shared" si="0"/>
        <v>3.724355795556755</v>
      </c>
      <c r="C99" s="31">
        <f t="shared" si="1"/>
        <v>2.4213146539744983</v>
      </c>
      <c r="D99" s="31"/>
      <c r="E99" s="31">
        <f t="shared" si="2"/>
        <v>2.118650322227687</v>
      </c>
      <c r="F99" s="31"/>
      <c r="G99" s="31">
        <f t="shared" si="3"/>
        <v>2.244479650602458</v>
      </c>
      <c r="H99" s="16"/>
    </row>
    <row r="100" spans="1:8" ht="12.75">
      <c r="A100" s="21">
        <v>8</v>
      </c>
      <c r="B100" s="20" t="s">
        <v>142</v>
      </c>
      <c r="C100" s="21">
        <v>2</v>
      </c>
      <c r="D100" s="14" t="s">
        <v>143</v>
      </c>
      <c r="E100" s="16"/>
      <c r="F100" s="16"/>
      <c r="G100" s="16"/>
      <c r="H100" s="16"/>
    </row>
    <row r="101" spans="1:8" ht="12.75">
      <c r="A101" s="16"/>
      <c r="B101" s="31">
        <v>100</v>
      </c>
      <c r="C101" s="31"/>
      <c r="D101" s="31">
        <v>100</v>
      </c>
      <c r="E101" s="31"/>
      <c r="F101" s="31">
        <v>100</v>
      </c>
      <c r="G101" s="31"/>
      <c r="H101" s="31">
        <v>100</v>
      </c>
    </row>
    <row r="102" spans="1:8" ht="12.75">
      <c r="A102" s="18">
        <f>VLOOKUP(A6,A120:B140,2)</f>
        <v>0</v>
      </c>
      <c r="B102" s="31">
        <f aca="true" t="shared" si="4" ref="B102:B116">(68+$A$102)*0.92^A85</f>
        <v>62.56</v>
      </c>
      <c r="C102" s="31"/>
      <c r="D102" s="31">
        <f aca="true" t="shared" si="5" ref="D102:D116">(64+$A$103)*0.885^A85</f>
        <v>56.64</v>
      </c>
      <c r="E102" s="31"/>
      <c r="F102" s="31">
        <f aca="true" t="shared" si="6" ref="F102:F116">(56+$A$103)*0.885^A85</f>
        <v>49.56</v>
      </c>
      <c r="G102" s="31"/>
      <c r="H102" s="31">
        <f aca="true" t="shared" si="7" ref="H102:H116">(60+$A$103)*0.884^A85</f>
        <v>53.04</v>
      </c>
    </row>
    <row r="103" spans="1:8" ht="12.75">
      <c r="A103" s="18">
        <f>VLOOKUP(A18,C120:D140,2)</f>
        <v>0</v>
      </c>
      <c r="B103" s="31">
        <f t="shared" si="4"/>
        <v>57.5552</v>
      </c>
      <c r="C103" s="31"/>
      <c r="D103" s="31">
        <f t="shared" si="5"/>
        <v>50.126400000000004</v>
      </c>
      <c r="E103" s="31"/>
      <c r="F103" s="31">
        <f t="shared" si="6"/>
        <v>43.860600000000005</v>
      </c>
      <c r="G103" s="31"/>
      <c r="H103" s="31">
        <f t="shared" si="7"/>
        <v>46.88736</v>
      </c>
    </row>
    <row r="104" spans="1:8" ht="12.75">
      <c r="A104" s="16"/>
      <c r="B104" s="31">
        <f t="shared" si="4"/>
        <v>52.950784000000006</v>
      </c>
      <c r="C104" s="31"/>
      <c r="D104" s="31">
        <f t="shared" si="5"/>
        <v>44.361864000000004</v>
      </c>
      <c r="E104" s="31"/>
      <c r="F104" s="31">
        <f t="shared" si="6"/>
        <v>38.816631</v>
      </c>
      <c r="G104" s="31"/>
      <c r="H104" s="31">
        <f t="shared" si="7"/>
        <v>41.44842624</v>
      </c>
    </row>
    <row r="105" spans="1:8" ht="12.75">
      <c r="A105" s="14" t="s">
        <v>144</v>
      </c>
      <c r="B105" s="31">
        <f t="shared" si="4"/>
        <v>48.714721280000006</v>
      </c>
      <c r="C105" s="31"/>
      <c r="D105" s="31">
        <f t="shared" si="5"/>
        <v>39.260249640000005</v>
      </c>
      <c r="E105" s="31"/>
      <c r="F105" s="31">
        <f t="shared" si="6"/>
        <v>34.35271843500001</v>
      </c>
      <c r="G105" s="31"/>
      <c r="H105" s="31">
        <f t="shared" si="7"/>
        <v>36.64040879616</v>
      </c>
    </row>
    <row r="106" spans="1:8" ht="12.75">
      <c r="A106" s="16"/>
      <c r="B106" s="31">
        <f t="shared" si="4"/>
        <v>44.817543577600006</v>
      </c>
      <c r="C106" s="31"/>
      <c r="D106" s="31">
        <f t="shared" si="5"/>
        <v>34.7453209314</v>
      </c>
      <c r="E106" s="31"/>
      <c r="F106" s="31">
        <f t="shared" si="6"/>
        <v>30.402155814975004</v>
      </c>
      <c r="G106" s="31"/>
      <c r="H106" s="31">
        <f t="shared" si="7"/>
        <v>32.39012137580544</v>
      </c>
    </row>
    <row r="107" spans="1:8" ht="12.75">
      <c r="A107" s="16"/>
      <c r="B107" s="31">
        <f t="shared" si="4"/>
        <v>41.232140091392004</v>
      </c>
      <c r="C107" s="31"/>
      <c r="D107" s="31">
        <f t="shared" si="5"/>
        <v>30.749609024289008</v>
      </c>
      <c r="E107" s="31"/>
      <c r="F107" s="31">
        <f t="shared" si="6"/>
        <v>26.90590789625288</v>
      </c>
      <c r="G107" s="31"/>
      <c r="H107" s="31">
        <f t="shared" si="7"/>
        <v>28.632867296212012</v>
      </c>
    </row>
    <row r="108" spans="1:8" ht="12.75">
      <c r="A108" s="16"/>
      <c r="B108" s="31">
        <f t="shared" si="4"/>
        <v>37.93356888408065</v>
      </c>
      <c r="C108" s="31"/>
      <c r="D108" s="31">
        <f t="shared" si="5"/>
        <v>27.21340398649577</v>
      </c>
      <c r="E108" s="31"/>
      <c r="F108" s="31">
        <f t="shared" si="6"/>
        <v>23.8117284881838</v>
      </c>
      <c r="G108" s="31"/>
      <c r="H108" s="31">
        <f t="shared" si="7"/>
        <v>25.31145468985142</v>
      </c>
    </row>
    <row r="109" spans="1:8" ht="12.75">
      <c r="A109" s="16"/>
      <c r="B109" s="31">
        <f t="shared" si="4"/>
        <v>34.8988833733542</v>
      </c>
      <c r="C109" s="31"/>
      <c r="D109" s="31">
        <f t="shared" si="5"/>
        <v>24.08386252804876</v>
      </c>
      <c r="E109" s="31"/>
      <c r="F109" s="31">
        <f t="shared" si="6"/>
        <v>21.073379712042662</v>
      </c>
      <c r="G109" s="31"/>
      <c r="H109" s="31">
        <f t="shared" si="7"/>
        <v>22.375325945828656</v>
      </c>
    </row>
    <row r="110" spans="1:8" ht="12.75">
      <c r="A110" s="16"/>
      <c r="B110" s="31">
        <f t="shared" si="4"/>
        <v>32.106972703485866</v>
      </c>
      <c r="C110" s="31"/>
      <c r="D110" s="31">
        <f t="shared" si="5"/>
        <v>21.31421833732315</v>
      </c>
      <c r="E110" s="31"/>
      <c r="F110" s="31">
        <f t="shared" si="6"/>
        <v>18.649941045157757</v>
      </c>
      <c r="G110" s="31"/>
      <c r="H110" s="31">
        <f t="shared" si="7"/>
        <v>19.779788136112533</v>
      </c>
    </row>
    <row r="111" spans="1:8" ht="12.75">
      <c r="A111" s="16"/>
      <c r="B111" s="31">
        <f t="shared" si="4"/>
        <v>29.538414887206997</v>
      </c>
      <c r="C111" s="31"/>
      <c r="D111" s="31">
        <f t="shared" si="5"/>
        <v>18.86308322853099</v>
      </c>
      <c r="E111" s="31"/>
      <c r="F111" s="31">
        <f t="shared" si="6"/>
        <v>16.505197824964615</v>
      </c>
      <c r="G111" s="31"/>
      <c r="H111" s="31">
        <f t="shared" si="7"/>
        <v>17.48533271232348</v>
      </c>
    </row>
    <row r="112" spans="1:8" ht="12.75">
      <c r="A112" s="16"/>
      <c r="B112" s="31">
        <f t="shared" si="4"/>
        <v>27.175341696230436</v>
      </c>
      <c r="C112" s="31"/>
      <c r="D112" s="31">
        <f t="shared" si="5"/>
        <v>16.693828657249927</v>
      </c>
      <c r="E112" s="31"/>
      <c r="F112" s="31">
        <f t="shared" si="6"/>
        <v>14.607100075093687</v>
      </c>
      <c r="G112" s="31"/>
      <c r="H112" s="31">
        <f t="shared" si="7"/>
        <v>15.457034117693956</v>
      </c>
    </row>
    <row r="113" spans="1:8" ht="12.75">
      <c r="A113" s="16"/>
      <c r="B113" s="31">
        <f t="shared" si="4"/>
        <v>25.001314360532003</v>
      </c>
      <c r="C113" s="31"/>
      <c r="D113" s="31">
        <f t="shared" si="5"/>
        <v>14.774038361666186</v>
      </c>
      <c r="E113" s="31"/>
      <c r="F113" s="31">
        <f t="shared" si="6"/>
        <v>12.927283566457913</v>
      </c>
      <c r="G113" s="31"/>
      <c r="H113" s="31">
        <f t="shared" si="7"/>
        <v>13.66401816004146</v>
      </c>
    </row>
    <row r="114" spans="1:8" ht="12.75">
      <c r="A114" s="16"/>
      <c r="B114" s="31">
        <f t="shared" si="4"/>
        <v>23.001209211689442</v>
      </c>
      <c r="C114" s="31"/>
      <c r="D114" s="31">
        <f t="shared" si="5"/>
        <v>13.075023950074574</v>
      </c>
      <c r="E114" s="31"/>
      <c r="F114" s="31">
        <f t="shared" si="6"/>
        <v>11.440645956315251</v>
      </c>
      <c r="G114" s="31"/>
      <c r="H114" s="31">
        <f t="shared" si="7"/>
        <v>12.07899205347665</v>
      </c>
    </row>
    <row r="115" spans="1:8" ht="12.75">
      <c r="A115" s="16"/>
      <c r="B115" s="31">
        <f t="shared" si="4"/>
        <v>21.16111247475429</v>
      </c>
      <c r="C115" s="31"/>
      <c r="D115" s="31">
        <f t="shared" si="5"/>
        <v>11.571396195816</v>
      </c>
      <c r="E115" s="31"/>
      <c r="F115" s="31">
        <f t="shared" si="6"/>
        <v>10.124971671339</v>
      </c>
      <c r="G115" s="31"/>
      <c r="H115" s="31">
        <f t="shared" si="7"/>
        <v>10.677828975273357</v>
      </c>
    </row>
    <row r="116" spans="1:8" ht="12.75">
      <c r="A116" s="16"/>
      <c r="B116" s="31">
        <f t="shared" si="4"/>
        <v>19.468223476773947</v>
      </c>
      <c r="C116" s="31"/>
      <c r="D116" s="31">
        <f t="shared" si="5"/>
        <v>10.24068563329716</v>
      </c>
      <c r="E116" s="31"/>
      <c r="F116" s="31">
        <f t="shared" si="6"/>
        <v>8.960599929135014</v>
      </c>
      <c r="G116" s="31"/>
      <c r="H116" s="31">
        <f t="shared" si="7"/>
        <v>9.43920081414165</v>
      </c>
    </row>
    <row r="117" spans="1:8" ht="12.75">
      <c r="A117" s="16"/>
      <c r="B117" s="16"/>
      <c r="C117" s="16"/>
      <c r="D117" s="16"/>
      <c r="E117" s="16"/>
      <c r="F117" s="16"/>
      <c r="G117" s="16"/>
      <c r="H117" s="16"/>
    </row>
    <row r="118" spans="1:8" ht="12.75">
      <c r="A118" s="16"/>
      <c r="B118" s="16"/>
      <c r="C118" s="16"/>
      <c r="D118" s="16"/>
      <c r="E118" s="16"/>
      <c r="F118" s="16"/>
      <c r="G118" s="16"/>
      <c r="H118" s="16"/>
    </row>
    <row r="119" spans="1:8" ht="12.75">
      <c r="A119" s="16"/>
      <c r="B119" s="16"/>
      <c r="C119" s="16"/>
      <c r="D119" s="16"/>
      <c r="E119" s="16"/>
      <c r="F119" s="16"/>
      <c r="G119" s="16"/>
      <c r="H119" s="16"/>
    </row>
    <row r="120" spans="1:8" ht="12.75">
      <c r="A120" s="18">
        <v>0</v>
      </c>
      <c r="B120" s="18">
        <v>0</v>
      </c>
      <c r="C120" s="18">
        <v>0</v>
      </c>
      <c r="D120" s="18">
        <v>0</v>
      </c>
      <c r="E120" s="16"/>
      <c r="F120" s="16"/>
      <c r="G120" s="16"/>
      <c r="H120" s="16"/>
    </row>
    <row r="121" spans="1:8" ht="12.75">
      <c r="A121" s="18">
        <v>1</v>
      </c>
      <c r="B121" s="18">
        <v>5</v>
      </c>
      <c r="C121" s="18">
        <v>1</v>
      </c>
      <c r="D121" s="18">
        <v>5</v>
      </c>
      <c r="E121" s="16"/>
      <c r="F121" s="16"/>
      <c r="G121" s="16"/>
      <c r="H121" s="16"/>
    </row>
    <row r="122" spans="1:8" ht="12.75">
      <c r="A122" s="18">
        <v>2</v>
      </c>
      <c r="B122" s="18">
        <v>9</v>
      </c>
      <c r="C122" s="18">
        <v>2</v>
      </c>
      <c r="D122" s="18">
        <v>9</v>
      </c>
      <c r="E122" s="16"/>
      <c r="F122" s="16"/>
      <c r="G122" s="16"/>
      <c r="H122" s="16"/>
    </row>
    <row r="123" spans="1:8" ht="12.75">
      <c r="A123" s="18">
        <v>3</v>
      </c>
      <c r="B123" s="18">
        <v>12</v>
      </c>
      <c r="C123" s="18">
        <v>3</v>
      </c>
      <c r="D123" s="18">
        <v>12</v>
      </c>
      <c r="E123" s="16"/>
      <c r="F123" s="16"/>
      <c r="G123" s="16"/>
      <c r="H123" s="16"/>
    </row>
    <row r="124" spans="1:8" ht="12.75">
      <c r="A124" s="18">
        <v>4</v>
      </c>
      <c r="B124" s="18">
        <v>14</v>
      </c>
      <c r="C124" s="18">
        <v>4</v>
      </c>
      <c r="D124" s="18">
        <v>14</v>
      </c>
      <c r="E124" s="20" t="s">
        <v>145</v>
      </c>
      <c r="F124" s="16"/>
      <c r="G124" s="16"/>
      <c r="H124" s="16"/>
    </row>
    <row r="125" spans="1:8" ht="12.75">
      <c r="A125" s="18">
        <v>5</v>
      </c>
      <c r="B125" s="18">
        <v>15</v>
      </c>
      <c r="C125" s="18">
        <v>5</v>
      </c>
      <c r="D125" s="18">
        <v>15</v>
      </c>
      <c r="E125" s="20" t="s">
        <v>146</v>
      </c>
      <c r="F125" s="16"/>
      <c r="G125" s="16"/>
      <c r="H125" s="16"/>
    </row>
    <row r="126" spans="1:8" ht="12.75">
      <c r="A126" s="18">
        <v>6</v>
      </c>
      <c r="B126" s="18">
        <v>16</v>
      </c>
      <c r="C126" s="18">
        <v>6</v>
      </c>
      <c r="D126" s="18">
        <v>16</v>
      </c>
      <c r="E126" s="16"/>
      <c r="F126" s="16"/>
      <c r="G126" s="16"/>
      <c r="H126" s="16"/>
    </row>
    <row r="127" spans="1:8" ht="12.75">
      <c r="A127" s="18">
        <v>7</v>
      </c>
      <c r="B127" s="18">
        <v>17</v>
      </c>
      <c r="C127" s="18">
        <v>7</v>
      </c>
      <c r="D127" s="18">
        <v>17</v>
      </c>
      <c r="E127" s="16"/>
      <c r="F127" s="16"/>
      <c r="G127" s="16"/>
      <c r="H127" s="16"/>
    </row>
    <row r="128" spans="1:8" ht="12.75">
      <c r="A128" s="18">
        <v>8</v>
      </c>
      <c r="B128" s="18">
        <v>18</v>
      </c>
      <c r="C128" s="18">
        <v>8</v>
      </c>
      <c r="D128" s="18">
        <v>18</v>
      </c>
      <c r="E128" s="16"/>
      <c r="F128" s="16"/>
      <c r="G128" s="16"/>
      <c r="H128" s="16"/>
    </row>
    <row r="129" spans="1:8" ht="12.75">
      <c r="A129" s="18">
        <v>9</v>
      </c>
      <c r="B129" s="18">
        <v>19</v>
      </c>
      <c r="C129" s="18">
        <v>9</v>
      </c>
      <c r="D129" s="18">
        <v>19</v>
      </c>
      <c r="E129" s="16"/>
      <c r="F129" s="16"/>
      <c r="G129" s="16"/>
      <c r="H129" s="16"/>
    </row>
    <row r="130" spans="1:8" ht="12.75">
      <c r="A130" s="18">
        <v>10</v>
      </c>
      <c r="B130" s="18">
        <v>20</v>
      </c>
      <c r="C130" s="18">
        <v>10</v>
      </c>
      <c r="D130" s="18">
        <v>20</v>
      </c>
      <c r="E130" s="16"/>
      <c r="F130" s="16"/>
      <c r="G130" s="16"/>
      <c r="H130" s="16"/>
    </row>
    <row r="131" spans="1:8" ht="12.75">
      <c r="A131" s="18">
        <v>11</v>
      </c>
      <c r="B131" s="18">
        <v>21</v>
      </c>
      <c r="C131" s="18">
        <v>11</v>
      </c>
      <c r="D131" s="18">
        <v>21</v>
      </c>
      <c r="E131" s="16"/>
      <c r="F131" s="16"/>
      <c r="G131" s="16"/>
      <c r="H131" s="16"/>
    </row>
    <row r="132" spans="1:8" ht="12.75">
      <c r="A132" s="18">
        <v>12</v>
      </c>
      <c r="B132" s="18">
        <v>22</v>
      </c>
      <c r="C132" s="18">
        <v>12</v>
      </c>
      <c r="D132" s="18">
        <v>22</v>
      </c>
      <c r="E132" s="16"/>
      <c r="F132" s="16"/>
      <c r="G132" s="16"/>
      <c r="H132" s="16"/>
    </row>
    <row r="133" spans="1:8" ht="12.75">
      <c r="A133" s="18">
        <v>13</v>
      </c>
      <c r="B133" s="18">
        <v>23</v>
      </c>
      <c r="C133" s="18">
        <v>13</v>
      </c>
      <c r="D133" s="18">
        <v>23</v>
      </c>
      <c r="E133" s="16"/>
      <c r="F133" s="16"/>
      <c r="G133" s="16"/>
      <c r="H133" s="16"/>
    </row>
    <row r="134" spans="1:8" ht="12.75">
      <c r="A134" s="18">
        <v>14</v>
      </c>
      <c r="B134" s="18">
        <v>24</v>
      </c>
      <c r="C134" s="18">
        <v>14</v>
      </c>
      <c r="D134" s="18">
        <v>24</v>
      </c>
      <c r="E134" s="16"/>
      <c r="F134" s="16"/>
      <c r="G134" s="16"/>
      <c r="H134" s="16"/>
    </row>
    <row r="135" spans="1:8" ht="12.75">
      <c r="A135" s="18">
        <v>15</v>
      </c>
      <c r="B135" s="18">
        <v>25</v>
      </c>
      <c r="C135" s="18">
        <v>15</v>
      </c>
      <c r="D135" s="18">
        <v>25</v>
      </c>
      <c r="E135" s="16"/>
      <c r="F135" s="16"/>
      <c r="G135" s="16"/>
      <c r="H135" s="16"/>
    </row>
    <row r="136" spans="1:8" ht="12.75">
      <c r="A136" s="18">
        <v>16</v>
      </c>
      <c r="B136" s="18">
        <v>26</v>
      </c>
      <c r="C136" s="18">
        <v>16</v>
      </c>
      <c r="D136" s="18">
        <v>26</v>
      </c>
      <c r="E136" s="16"/>
      <c r="F136" s="16"/>
      <c r="G136" s="16"/>
      <c r="H136" s="16"/>
    </row>
    <row r="137" spans="1:8" ht="12.75">
      <c r="A137" s="18">
        <v>17</v>
      </c>
      <c r="B137" s="18">
        <v>27</v>
      </c>
      <c r="C137" s="18">
        <v>17</v>
      </c>
      <c r="D137" s="18">
        <v>27</v>
      </c>
      <c r="E137" s="16"/>
      <c r="F137" s="16"/>
      <c r="G137" s="16"/>
      <c r="H137" s="16"/>
    </row>
    <row r="138" spans="1:8" ht="12.75">
      <c r="A138" s="18">
        <v>18</v>
      </c>
      <c r="B138" s="18">
        <v>28</v>
      </c>
      <c r="C138" s="18">
        <v>18</v>
      </c>
      <c r="D138" s="18">
        <v>28</v>
      </c>
      <c r="E138" s="16"/>
      <c r="F138" s="16"/>
      <c r="G138" s="16"/>
      <c r="H138" s="16"/>
    </row>
    <row r="139" spans="1:8" ht="12.75">
      <c r="A139" s="18">
        <v>19</v>
      </c>
      <c r="B139" s="18">
        <v>29</v>
      </c>
      <c r="C139" s="18">
        <v>19</v>
      </c>
      <c r="D139" s="18">
        <v>29</v>
      </c>
      <c r="E139" s="16"/>
      <c r="F139" s="16"/>
      <c r="G139" s="16"/>
      <c r="H139" s="16"/>
    </row>
    <row r="140" spans="1:8" ht="12.75">
      <c r="A140" s="18">
        <v>20</v>
      </c>
      <c r="B140" s="18">
        <v>30</v>
      </c>
      <c r="C140" s="18">
        <v>20</v>
      </c>
      <c r="D140" s="18">
        <v>30</v>
      </c>
      <c r="E140" s="16"/>
      <c r="F140" s="16"/>
      <c r="G140" s="16"/>
      <c r="H140" s="16"/>
    </row>
    <row r="141" spans="1:8" ht="12.75">
      <c r="A141" s="16"/>
      <c r="B141" s="16"/>
      <c r="C141" s="16"/>
      <c r="D141" s="16"/>
      <c r="E141" s="16"/>
      <c r="F141" s="16"/>
      <c r="G141" s="16"/>
      <c r="H141" s="16"/>
    </row>
    <row r="142" spans="1:8" ht="12.75">
      <c r="A142" s="16"/>
      <c r="B142" s="16"/>
      <c r="C142" s="16"/>
      <c r="D142" s="16"/>
      <c r="E142" s="16"/>
      <c r="F142" s="16"/>
      <c r="G142" s="16"/>
      <c r="H142" s="16"/>
    </row>
    <row r="143" spans="1:8" ht="12.75">
      <c r="A143" s="16"/>
      <c r="B143" s="16"/>
      <c r="C143" s="16"/>
      <c r="D143" s="16"/>
      <c r="E143" s="16"/>
      <c r="F143" s="16"/>
      <c r="G143" s="16"/>
      <c r="H143" s="16"/>
    </row>
    <row r="144" spans="1:8" ht="12.75">
      <c r="A144" s="16"/>
      <c r="B144" s="16"/>
      <c r="C144" s="16"/>
      <c r="D144" s="16"/>
      <c r="E144" s="16"/>
      <c r="F144" s="16"/>
      <c r="G144" s="16"/>
      <c r="H144" s="16"/>
    </row>
  </sheetData>
  <sheetProtection sheet="1" objects="1" scenarios="1"/>
  <printOptions/>
  <pageMargins left="1" right="0.5" top="0" bottom="0" header="0.5" footer="0.5"/>
  <pageSetup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A22" sqref="A22"/>
    </sheetView>
  </sheetViews>
  <sheetFormatPr defaultColWidth="9.00390625" defaultRowHeight="12.75"/>
  <cols>
    <col min="1" max="1" width="93.25390625" style="61" customWidth="1"/>
  </cols>
  <sheetData>
    <row r="1" ht="12.75">
      <c r="A1" s="59" t="s">
        <v>172</v>
      </c>
    </row>
    <row r="2" spans="1:3" ht="12.75">
      <c r="A2" s="59" t="s">
        <v>158</v>
      </c>
      <c r="B2" s="16"/>
      <c r="C2" s="16"/>
    </row>
    <row r="3" spans="1:3" ht="12.75">
      <c r="A3" s="59" t="s">
        <v>159</v>
      </c>
      <c r="B3" s="16"/>
      <c r="C3" s="16"/>
    </row>
    <row r="4" spans="1:3" ht="12.75">
      <c r="A4" s="59" t="s">
        <v>160</v>
      </c>
      <c r="B4" s="16"/>
      <c r="C4" s="16"/>
    </row>
    <row r="5" spans="1:3" ht="12.75">
      <c r="A5" s="59" t="s">
        <v>161</v>
      </c>
      <c r="B5" s="16"/>
      <c r="C5" s="16"/>
    </row>
    <row r="6" spans="1:3" ht="12.75">
      <c r="A6" s="59" t="s">
        <v>162</v>
      </c>
      <c r="B6" s="16"/>
      <c r="C6" s="16"/>
    </row>
    <row r="7" spans="1:3" ht="12.75">
      <c r="A7" s="59" t="s">
        <v>163</v>
      </c>
      <c r="B7" s="16"/>
      <c r="C7" s="16"/>
    </row>
    <row r="8" spans="1:3" ht="12.75">
      <c r="A8" s="59" t="s">
        <v>164</v>
      </c>
      <c r="B8" s="16"/>
      <c r="C8" s="16"/>
    </row>
    <row r="9" spans="1:3" ht="12.75">
      <c r="A9" s="59" t="s">
        <v>165</v>
      </c>
      <c r="B9" s="16"/>
      <c r="C9" s="16"/>
    </row>
    <row r="10" spans="1:3" ht="12.75">
      <c r="A10" s="59" t="s">
        <v>166</v>
      </c>
      <c r="B10" s="16"/>
      <c r="C10" s="16"/>
    </row>
    <row r="11" spans="1:3" ht="12.75">
      <c r="A11" s="60" t="s">
        <v>181</v>
      </c>
      <c r="B11" s="16"/>
      <c r="C11" s="16"/>
    </row>
    <row r="12" spans="1:3" ht="12.75">
      <c r="A12" s="59" t="s">
        <v>167</v>
      </c>
      <c r="B12" s="16"/>
      <c r="C12" s="16"/>
    </row>
    <row r="13" spans="1:3" ht="12.75">
      <c r="A13" s="59" t="s">
        <v>168</v>
      </c>
      <c r="B13" s="16"/>
      <c r="C13" s="16"/>
    </row>
    <row r="14" spans="1:3" ht="12.75">
      <c r="A14" s="59" t="s">
        <v>169</v>
      </c>
      <c r="B14" s="16"/>
      <c r="C14" s="16"/>
    </row>
    <row r="15" spans="1:3" ht="12.75">
      <c r="A15" s="59" t="s">
        <v>170</v>
      </c>
      <c r="B15" s="16"/>
      <c r="C15" s="16"/>
    </row>
    <row r="16" spans="1:3" ht="12.75">
      <c r="A16" s="59" t="s">
        <v>171</v>
      </c>
      <c r="B16" s="16"/>
      <c r="C16" s="1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5"/>
  <sheetViews>
    <sheetView workbookViewId="0" topLeftCell="A1">
      <selection activeCell="A1" sqref="A1"/>
    </sheetView>
  </sheetViews>
  <sheetFormatPr defaultColWidth="9.00390625" defaultRowHeight="12.75"/>
  <cols>
    <col min="1" max="1" width="30.00390625" style="64" customWidth="1"/>
    <col min="2" max="2" width="3.00390625" style="64" customWidth="1"/>
    <col min="3" max="3" width="3.50390625" style="64" customWidth="1"/>
    <col min="4" max="4" width="9.00390625" style="64" customWidth="1"/>
  </cols>
  <sheetData>
    <row r="2" spans="1:4" ht="12">
      <c r="A2" s="68" t="s">
        <v>4</v>
      </c>
      <c r="B2" s="69" t="s">
        <v>5</v>
      </c>
      <c r="C2" s="70"/>
      <c r="D2" s="70"/>
    </row>
    <row r="3" spans="1:3" ht="12.75">
      <c r="A3" s="65" t="s">
        <v>11</v>
      </c>
      <c r="B3" s="63" t="s">
        <v>12</v>
      </c>
      <c r="C3" s="66">
        <v>1</v>
      </c>
    </row>
    <row r="4" spans="1:3" ht="12.75">
      <c r="A4" s="65" t="s">
        <v>15</v>
      </c>
      <c r="B4" s="63" t="s">
        <v>12</v>
      </c>
      <c r="C4" s="66">
        <v>2</v>
      </c>
    </row>
    <row r="5" spans="1:3" ht="12.75">
      <c r="A5" s="65" t="s">
        <v>18</v>
      </c>
      <c r="B5" s="63" t="s">
        <v>12</v>
      </c>
      <c r="C5" s="66">
        <v>3</v>
      </c>
    </row>
    <row r="6" spans="1:3" ht="12.75">
      <c r="A6" s="65" t="s">
        <v>22</v>
      </c>
      <c r="B6" s="63" t="s">
        <v>12</v>
      </c>
      <c r="C6" s="66">
        <v>4</v>
      </c>
    </row>
    <row r="7" spans="1:3" ht="12.75">
      <c r="A7" s="65" t="s">
        <v>25</v>
      </c>
      <c r="B7" s="63" t="s">
        <v>12</v>
      </c>
      <c r="C7" s="66">
        <v>5</v>
      </c>
    </row>
    <row r="8" spans="1:3" ht="12.75">
      <c r="A8" s="65" t="s">
        <v>28</v>
      </c>
      <c r="B8" s="63" t="s">
        <v>12</v>
      </c>
      <c r="C8" s="66">
        <v>6</v>
      </c>
    </row>
    <row r="9" spans="1:3" ht="12.75">
      <c r="A9" s="65" t="s">
        <v>176</v>
      </c>
      <c r="B9" s="67" t="s">
        <v>12</v>
      </c>
      <c r="C9" s="66">
        <v>7</v>
      </c>
    </row>
    <row r="10" spans="1:3" ht="12.75">
      <c r="A10" s="65" t="s">
        <v>31</v>
      </c>
      <c r="B10" s="63" t="s">
        <v>12</v>
      </c>
      <c r="C10" s="66">
        <v>8</v>
      </c>
    </row>
    <row r="11" spans="1:3" ht="12.75">
      <c r="A11" s="65" t="s">
        <v>34</v>
      </c>
      <c r="B11" s="63" t="s">
        <v>12</v>
      </c>
      <c r="C11" s="66">
        <v>9</v>
      </c>
    </row>
    <row r="12" spans="1:3" ht="12.75">
      <c r="A12" s="65" t="s">
        <v>35</v>
      </c>
      <c r="B12" s="63" t="s">
        <v>12</v>
      </c>
      <c r="C12" s="66">
        <v>10</v>
      </c>
    </row>
    <row r="13" spans="1:3" ht="12.75">
      <c r="A13" s="65" t="s">
        <v>37</v>
      </c>
      <c r="B13" s="63" t="s">
        <v>12</v>
      </c>
      <c r="C13" s="66">
        <v>11</v>
      </c>
    </row>
    <row r="14" spans="1:3" ht="12.75">
      <c r="A14" s="65" t="s">
        <v>39</v>
      </c>
      <c r="B14" s="63" t="s">
        <v>12</v>
      </c>
      <c r="C14" s="66">
        <v>12</v>
      </c>
    </row>
    <row r="15" spans="1:3" ht="12.75">
      <c r="A15" s="65" t="s">
        <v>42</v>
      </c>
      <c r="B15" s="63" t="s">
        <v>12</v>
      </c>
      <c r="C15" s="66">
        <v>13</v>
      </c>
    </row>
    <row r="16" spans="1:3" ht="12.75">
      <c r="A16" s="65" t="s">
        <v>43</v>
      </c>
      <c r="B16" s="63" t="s">
        <v>12</v>
      </c>
      <c r="C16" s="66">
        <v>14</v>
      </c>
    </row>
    <row r="17" spans="1:3" ht="12.75">
      <c r="A17" s="65" t="s">
        <v>46</v>
      </c>
      <c r="B17" s="63" t="s">
        <v>12</v>
      </c>
      <c r="C17" s="66">
        <v>15</v>
      </c>
    </row>
    <row r="18" spans="1:3" ht="12.75">
      <c r="A18" s="65" t="s">
        <v>48</v>
      </c>
      <c r="B18" s="63" t="s">
        <v>12</v>
      </c>
      <c r="C18" s="66">
        <v>16</v>
      </c>
    </row>
    <row r="19" spans="1:3" ht="12.75">
      <c r="A19" s="65" t="s">
        <v>50</v>
      </c>
      <c r="B19" s="63" t="s">
        <v>12</v>
      </c>
      <c r="C19" s="66">
        <v>17</v>
      </c>
    </row>
    <row r="20" spans="1:3" ht="12.75">
      <c r="A20" s="65" t="s">
        <v>53</v>
      </c>
      <c r="B20" s="63" t="s">
        <v>12</v>
      </c>
      <c r="C20" s="66">
        <v>18</v>
      </c>
    </row>
    <row r="21" spans="1:3" ht="12.75">
      <c r="A21" s="65" t="s">
        <v>56</v>
      </c>
      <c r="B21" s="63" t="s">
        <v>12</v>
      </c>
      <c r="C21" s="66">
        <v>19</v>
      </c>
    </row>
    <row r="22" spans="1:3" ht="12.75">
      <c r="A22" s="65" t="s">
        <v>60</v>
      </c>
      <c r="B22" s="63" t="s">
        <v>12</v>
      </c>
      <c r="C22" s="66">
        <v>20</v>
      </c>
    </row>
    <row r="23" spans="1:3" ht="12.75">
      <c r="A23" s="65" t="s">
        <v>173</v>
      </c>
      <c r="B23" s="63" t="s">
        <v>12</v>
      </c>
      <c r="C23" s="66">
        <v>21</v>
      </c>
    </row>
    <row r="24" spans="1:3" ht="12.75">
      <c r="A24" s="65" t="s">
        <v>174</v>
      </c>
      <c r="B24" s="63" t="s">
        <v>12</v>
      </c>
      <c r="C24" s="66">
        <v>22</v>
      </c>
    </row>
    <row r="25" spans="1:3" ht="12.75">
      <c r="A25" s="65" t="s">
        <v>65</v>
      </c>
      <c r="B25" s="62" t="s">
        <v>12</v>
      </c>
      <c r="C25" s="66">
        <v>23</v>
      </c>
    </row>
    <row r="26" spans="1:3" ht="12.75">
      <c r="A26" s="65" t="s">
        <v>66</v>
      </c>
      <c r="B26" s="63" t="s">
        <v>12</v>
      </c>
      <c r="C26" s="66">
        <v>24</v>
      </c>
    </row>
    <row r="27" spans="1:3" ht="12.75">
      <c r="A27" s="65" t="s">
        <v>151</v>
      </c>
      <c r="B27" s="63" t="s">
        <v>12</v>
      </c>
      <c r="C27" s="66">
        <v>25</v>
      </c>
    </row>
    <row r="28" spans="1:3" ht="12.75">
      <c r="A28" s="65" t="s">
        <v>152</v>
      </c>
      <c r="B28" s="63" t="s">
        <v>12</v>
      </c>
      <c r="C28" s="66">
        <v>26</v>
      </c>
    </row>
    <row r="29" spans="1:3" ht="12.75">
      <c r="A29" s="65" t="s">
        <v>153</v>
      </c>
      <c r="B29" s="63" t="s">
        <v>12</v>
      </c>
      <c r="C29" s="66">
        <v>27</v>
      </c>
    </row>
    <row r="30" spans="1:3" ht="12.75">
      <c r="A30" s="65" t="s">
        <v>75</v>
      </c>
      <c r="B30" s="63" t="s">
        <v>12</v>
      </c>
      <c r="C30" s="66">
        <v>28</v>
      </c>
    </row>
    <row r="31" spans="1:3" ht="12.75">
      <c r="A31" s="65" t="s">
        <v>77</v>
      </c>
      <c r="B31" s="63" t="s">
        <v>12</v>
      </c>
      <c r="C31" s="66">
        <v>29</v>
      </c>
    </row>
    <row r="32" spans="1:3" ht="12.75">
      <c r="A32" s="65" t="s">
        <v>177</v>
      </c>
      <c r="B32" s="63" t="s">
        <v>12</v>
      </c>
      <c r="C32" s="66">
        <v>30</v>
      </c>
    </row>
    <row r="33" spans="1:3" ht="12.75">
      <c r="A33" s="65" t="s">
        <v>79</v>
      </c>
      <c r="B33" s="63" t="s">
        <v>12</v>
      </c>
      <c r="C33" s="66">
        <v>31</v>
      </c>
    </row>
    <row r="34" spans="1:3" ht="12.75">
      <c r="A34" s="65" t="s">
        <v>82</v>
      </c>
      <c r="B34" s="63" t="s">
        <v>12</v>
      </c>
      <c r="C34" s="66">
        <v>32</v>
      </c>
    </row>
    <row r="35" spans="1:3" ht="12.75">
      <c r="A35" s="65" t="s">
        <v>84</v>
      </c>
      <c r="B35" s="63" t="s">
        <v>12</v>
      </c>
      <c r="C35" s="66">
        <v>33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Biological Systems 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Schuler</dc:creator>
  <cp:keywords/>
  <dc:description/>
  <cp:lastModifiedBy>ksternweis</cp:lastModifiedBy>
  <cp:lastPrinted>2007-01-25T13:55:12Z</cp:lastPrinted>
  <dcterms:created xsi:type="dcterms:W3CDTF">2000-05-15T20:55:55Z</dcterms:created>
  <dcterms:modified xsi:type="dcterms:W3CDTF">2012-03-09T22:08:10Z</dcterms:modified>
  <cp:category/>
  <cp:version/>
  <cp:contentType/>
  <cp:contentStatus/>
</cp:coreProperties>
</file>